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\Desktop\McGill and Living\Kevin US CAN Stock Valuation\EBS\"/>
    </mc:Choice>
  </mc:AlternateContent>
  <bookViews>
    <workbookView xWindow="0" yWindow="0" windowWidth="23040" windowHeight="9048" tabRatio="907" xr2:uid="{00000000-000D-0000-FFFF-FFFF00000000}"/>
  </bookViews>
  <sheets>
    <sheet name="Cover" sheetId="3" r:id="rId1"/>
    <sheet name="Financial Statements" sheetId="1" r:id="rId2"/>
    <sheet name="IS Modelling" sheetId="2" r:id="rId3"/>
    <sheet name="BS Modelling" sheetId="7" r:id="rId4"/>
    <sheet name="Valuation" sheetId="4" r:id="rId5"/>
    <sheet name="Ratios" sheetId="5" r:id="rId6"/>
    <sheet name="Comps" sheetId="6" r:id="rId7"/>
    <sheet name="Sheet1" sheetId="8" r:id="rId8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2" i="2" l="1"/>
  <c r="Z32" i="2"/>
  <c r="X32" i="2"/>
  <c r="V32" i="2"/>
  <c r="T32" i="2"/>
  <c r="D32" i="2"/>
  <c r="F32" i="2"/>
  <c r="H32" i="2"/>
  <c r="J32" i="2"/>
  <c r="L32" i="2"/>
  <c r="R32" i="2"/>
  <c r="P32" i="2"/>
  <c r="N32" i="2"/>
  <c r="AD27" i="2"/>
  <c r="AB27" i="2"/>
  <c r="Z27" i="2"/>
  <c r="X27" i="2"/>
  <c r="V27" i="2"/>
  <c r="T27" i="2"/>
  <c r="R27" i="2"/>
  <c r="P27" i="2"/>
  <c r="N27" i="2"/>
  <c r="AD13" i="2"/>
  <c r="AB13" i="2"/>
  <c r="Z13" i="2"/>
  <c r="X13" i="2"/>
  <c r="V13" i="2"/>
  <c r="T13" i="2"/>
  <c r="R13" i="2"/>
  <c r="P13" i="2"/>
  <c r="N13" i="2"/>
  <c r="L13" i="2"/>
  <c r="J13" i="2"/>
  <c r="H13" i="2"/>
  <c r="F13" i="2"/>
  <c r="R66" i="8"/>
  <c r="R65" i="8"/>
  <c r="R64" i="8"/>
  <c r="S64" i="8"/>
  <c r="S66" i="8"/>
  <c r="S65" i="8"/>
  <c r="M7" i="6" l="1"/>
  <c r="L7" i="6"/>
  <c r="K7" i="6"/>
  <c r="J7" i="6"/>
  <c r="I7" i="6"/>
  <c r="H7" i="6"/>
  <c r="G7" i="6"/>
  <c r="F7" i="6"/>
  <c r="E7" i="6"/>
  <c r="D7" i="6"/>
  <c r="J25" i="4"/>
  <c r="D28" i="4"/>
  <c r="H4" i="4"/>
  <c r="F4" i="4"/>
  <c r="D129" i="1" l="1"/>
  <c r="F129" i="1"/>
  <c r="H129" i="1"/>
  <c r="J129" i="1"/>
  <c r="L129" i="1"/>
  <c r="N129" i="1"/>
  <c r="N183" i="1"/>
  <c r="T5" i="4"/>
  <c r="R5" i="4"/>
  <c r="P5" i="4"/>
  <c r="N5" i="4"/>
  <c r="L5" i="4"/>
  <c r="J5" i="4"/>
  <c r="H5" i="4"/>
  <c r="F5" i="4"/>
  <c r="D5" i="4"/>
  <c r="V17" i="1"/>
  <c r="T89" i="7"/>
  <c r="AD16" i="7"/>
  <c r="AD12" i="7" s="1"/>
  <c r="AD15" i="7"/>
  <c r="D185" i="1"/>
  <c r="F185" i="1"/>
  <c r="H185" i="1"/>
  <c r="J185" i="1"/>
  <c r="L185" i="1"/>
  <c r="P185" i="1"/>
  <c r="R185" i="1"/>
  <c r="T185" i="1"/>
  <c r="N97" i="2"/>
  <c r="N108" i="2"/>
  <c r="T76" i="2"/>
  <c r="R76" i="2"/>
  <c r="P76" i="2"/>
  <c r="L79" i="2"/>
  <c r="J79" i="2"/>
  <c r="H79" i="2"/>
  <c r="AD14" i="2"/>
  <c r="AB14" i="2"/>
  <c r="Z14" i="2"/>
  <c r="N22" i="2"/>
  <c r="AD24" i="2"/>
  <c r="AB24" i="2"/>
  <c r="Z24" i="2"/>
  <c r="X24" i="2"/>
  <c r="V24" i="2"/>
  <c r="T24" i="2"/>
  <c r="R24" i="2"/>
  <c r="P24" i="2"/>
  <c r="N24" i="2"/>
  <c r="L28" i="2"/>
  <c r="X15" i="2"/>
  <c r="X14" i="2" s="1"/>
  <c r="V15" i="2"/>
  <c r="V14" i="2" s="1"/>
  <c r="T15" i="2"/>
  <c r="T14" i="2" s="1"/>
  <c r="R15" i="2"/>
  <c r="R14" i="2" s="1"/>
  <c r="P15" i="2"/>
  <c r="P14" i="2" s="1"/>
  <c r="N14" i="2"/>
  <c r="N26" i="2"/>
  <c r="N25" i="2"/>
  <c r="P25" i="2" s="1"/>
  <c r="R25" i="2" s="1"/>
  <c r="N23" i="2"/>
  <c r="AD26" i="2"/>
  <c r="AB26" i="2"/>
  <c r="Z26" i="2"/>
  <c r="X26" i="2"/>
  <c r="V26" i="2"/>
  <c r="T26" i="2"/>
  <c r="R26" i="2"/>
  <c r="P26" i="2"/>
  <c r="AD21" i="2"/>
  <c r="AB21" i="2"/>
  <c r="Z21" i="2"/>
  <c r="X21" i="2"/>
  <c r="V21" i="2"/>
  <c r="T21" i="2"/>
  <c r="R21" i="2"/>
  <c r="P21" i="2"/>
  <c r="D31" i="4"/>
  <c r="T19" i="2"/>
  <c r="AD23" i="2"/>
  <c r="AB23" i="2"/>
  <c r="Z23" i="2"/>
  <c r="X23" i="2"/>
  <c r="V23" i="2"/>
  <c r="T23" i="2"/>
  <c r="R23" i="2"/>
  <c r="P23" i="2"/>
  <c r="AD22" i="2"/>
  <c r="AB22" i="2"/>
  <c r="Z22" i="2"/>
  <c r="X22" i="2"/>
  <c r="V22" i="2"/>
  <c r="T22" i="2"/>
  <c r="R22" i="2"/>
  <c r="P22" i="2"/>
  <c r="D45" i="1"/>
  <c r="N29" i="2"/>
  <c r="N30" i="2"/>
  <c r="P30" i="2" s="1"/>
  <c r="P77" i="2" s="1"/>
  <c r="N18" i="2" l="1"/>
  <c r="N28" i="2" s="1"/>
  <c r="R18" i="2"/>
  <c r="R28" i="2" s="1"/>
  <c r="T25" i="2"/>
  <c r="V25" i="2" s="1"/>
  <c r="X25" i="2" s="1"/>
  <c r="Z25" i="2" s="1"/>
  <c r="AB25" i="2" s="1"/>
  <c r="AD25" i="2" s="1"/>
  <c r="P18" i="2"/>
  <c r="P28" i="2" s="1"/>
  <c r="N77" i="2"/>
  <c r="V19" i="2"/>
  <c r="H78" i="2"/>
  <c r="H80" i="2" s="1"/>
  <c r="J78" i="2"/>
  <c r="J80" i="2" s="1"/>
  <c r="L78" i="2"/>
  <c r="L80" i="2" s="1"/>
  <c r="V18" i="2" l="1"/>
  <c r="V28" i="2" s="1"/>
  <c r="T18" i="2"/>
  <c r="T28" i="2" s="1"/>
  <c r="N47" i="2"/>
  <c r="X19" i="2"/>
  <c r="X18" i="2" s="1"/>
  <c r="X28" i="2" s="1"/>
  <c r="AD27" i="5"/>
  <c r="AD26" i="5"/>
  <c r="AD25" i="5"/>
  <c r="AB27" i="5"/>
  <c r="AB26" i="5"/>
  <c r="AB25" i="5"/>
  <c r="Z27" i="5"/>
  <c r="Z26" i="5"/>
  <c r="Z25" i="5"/>
  <c r="X27" i="5"/>
  <c r="X26" i="5"/>
  <c r="X25" i="5"/>
  <c r="V27" i="5"/>
  <c r="V26" i="5"/>
  <c r="V25" i="5"/>
  <c r="T27" i="5"/>
  <c r="T26" i="5"/>
  <c r="T25" i="5"/>
  <c r="R27" i="5"/>
  <c r="R26" i="5"/>
  <c r="R25" i="5"/>
  <c r="P27" i="5"/>
  <c r="P26" i="5"/>
  <c r="P25" i="5"/>
  <c r="N27" i="5"/>
  <c r="N26" i="5"/>
  <c r="N25" i="5"/>
  <c r="L27" i="5"/>
  <c r="L26" i="5"/>
  <c r="L25" i="5"/>
  <c r="L24" i="5"/>
  <c r="L23" i="5"/>
  <c r="L22" i="5"/>
  <c r="J27" i="5"/>
  <c r="J26" i="5"/>
  <c r="J25" i="5"/>
  <c r="J24" i="5"/>
  <c r="J23" i="5"/>
  <c r="J22" i="5"/>
  <c r="H27" i="5"/>
  <c r="H26" i="5"/>
  <c r="H25" i="5"/>
  <c r="H24" i="5"/>
  <c r="H23" i="5"/>
  <c r="H22" i="5"/>
  <c r="F27" i="5"/>
  <c r="F26" i="5"/>
  <c r="F25" i="5"/>
  <c r="F24" i="5"/>
  <c r="F23" i="5"/>
  <c r="F22" i="5"/>
  <c r="D27" i="5"/>
  <c r="D26" i="5"/>
  <c r="D25" i="5"/>
  <c r="D24" i="5"/>
  <c r="D23" i="5"/>
  <c r="D22" i="5"/>
  <c r="AC21" i="4"/>
  <c r="L18" i="5"/>
  <c r="L17" i="5"/>
  <c r="J19" i="5"/>
  <c r="J18" i="5"/>
  <c r="J17" i="5"/>
  <c r="H19" i="5"/>
  <c r="H18" i="5"/>
  <c r="H17" i="5"/>
  <c r="F19" i="5"/>
  <c r="F18" i="5"/>
  <c r="F17" i="5"/>
  <c r="D19" i="5"/>
  <c r="D17" i="5"/>
  <c r="D18" i="5"/>
  <c r="F8" i="5"/>
  <c r="L11" i="5"/>
  <c r="J14" i="5"/>
  <c r="J13" i="5"/>
  <c r="J11" i="5"/>
  <c r="H14" i="5"/>
  <c r="H13" i="5"/>
  <c r="H11" i="5"/>
  <c r="F14" i="5"/>
  <c r="F13" i="5"/>
  <c r="F11" i="5"/>
  <c r="D14" i="5"/>
  <c r="D13" i="5"/>
  <c r="D11" i="5"/>
  <c r="J8" i="5"/>
  <c r="J7" i="5"/>
  <c r="J6" i="5"/>
  <c r="H8" i="5"/>
  <c r="H7" i="5"/>
  <c r="H6" i="5"/>
  <c r="F7" i="5"/>
  <c r="F6" i="5"/>
  <c r="J36" i="1"/>
  <c r="H36" i="1"/>
  <c r="F36" i="1"/>
  <c r="J20" i="1"/>
  <c r="H20" i="1"/>
  <c r="F20" i="1"/>
  <c r="L11" i="1"/>
  <c r="J11" i="1"/>
  <c r="H11" i="1"/>
  <c r="F11" i="1"/>
  <c r="AL11" i="1" s="1"/>
  <c r="D18" i="4"/>
  <c r="D16" i="4"/>
  <c r="D15" i="4"/>
  <c r="D36" i="4"/>
  <c r="D37" i="4" s="1"/>
  <c r="D33" i="4"/>
  <c r="N91" i="7"/>
  <c r="AD91" i="7"/>
  <c r="AB91" i="7"/>
  <c r="Z91" i="7"/>
  <c r="X91" i="7"/>
  <c r="P91" i="7"/>
  <c r="R91" i="7"/>
  <c r="T91" i="7"/>
  <c r="T15" i="1"/>
  <c r="R15" i="1"/>
  <c r="P15" i="1"/>
  <c r="N15" i="1"/>
  <c r="R89" i="7"/>
  <c r="P89" i="7"/>
  <c r="N89" i="7"/>
  <c r="N86" i="7"/>
  <c r="Z19" i="2" l="1"/>
  <c r="Z18" i="2" s="1"/>
  <c r="Z28" i="2" s="1"/>
  <c r="AB21" i="4"/>
  <c r="AA21" i="4" s="1"/>
  <c r="AE21" i="4"/>
  <c r="AF21" i="4" s="1"/>
  <c r="AG21" i="4" s="1"/>
  <c r="AH21" i="4" s="1"/>
  <c r="AD56" i="7"/>
  <c r="AB56" i="7"/>
  <c r="Z56" i="7"/>
  <c r="X56" i="7"/>
  <c r="V56" i="7"/>
  <c r="N56" i="7"/>
  <c r="P56" i="7"/>
  <c r="R56" i="7"/>
  <c r="N109" i="1"/>
  <c r="L109" i="1"/>
  <c r="J109" i="1"/>
  <c r="H109" i="1"/>
  <c r="F109" i="1"/>
  <c r="D109" i="1"/>
  <c r="AD83" i="7"/>
  <c r="AB83" i="7"/>
  <c r="Z83" i="7"/>
  <c r="X83" i="7"/>
  <c r="V83" i="7"/>
  <c r="T83" i="7"/>
  <c r="R83" i="7"/>
  <c r="P83" i="7"/>
  <c r="N83" i="7"/>
  <c r="V51" i="7"/>
  <c r="V53" i="7"/>
  <c r="T57" i="7" s="1"/>
  <c r="L56" i="7"/>
  <c r="L57" i="7"/>
  <c r="N176" i="1"/>
  <c r="AB19" i="2" l="1"/>
  <c r="AB18" i="2" s="1"/>
  <c r="AB28" i="2" s="1"/>
  <c r="N58" i="1"/>
  <c r="N175" i="1" s="1"/>
  <c r="AD58" i="1"/>
  <c r="AB58" i="1"/>
  <c r="Z58" i="1"/>
  <c r="X58" i="1"/>
  <c r="V58" i="1"/>
  <c r="T58" i="1"/>
  <c r="R58" i="1"/>
  <c r="P58" i="1"/>
  <c r="N32" i="1"/>
  <c r="P32" i="1" s="1"/>
  <c r="R32" i="1" s="1"/>
  <c r="T32" i="1" s="1"/>
  <c r="V32" i="1" s="1"/>
  <c r="X32" i="1" s="1"/>
  <c r="Z32" i="1" s="1"/>
  <c r="AB32" i="1" s="1"/>
  <c r="AD32" i="1" s="1"/>
  <c r="N178" i="1"/>
  <c r="P178" i="1" s="1"/>
  <c r="R178" i="1" s="1"/>
  <c r="T178" i="1" s="1"/>
  <c r="V178" i="1" s="1"/>
  <c r="X178" i="1" s="1"/>
  <c r="Z178" i="1" s="1"/>
  <c r="AB178" i="1" s="1"/>
  <c r="AD178" i="1" s="1"/>
  <c r="N174" i="1"/>
  <c r="N173" i="1"/>
  <c r="P173" i="1" s="1"/>
  <c r="R173" i="1" s="1"/>
  <c r="T173" i="1" s="1"/>
  <c r="V173" i="1" s="1"/>
  <c r="X173" i="1" s="1"/>
  <c r="Z173" i="1" s="1"/>
  <c r="AB173" i="1" s="1"/>
  <c r="AD173" i="1" s="1"/>
  <c r="N172" i="1"/>
  <c r="P172" i="1" s="1"/>
  <c r="R172" i="1" s="1"/>
  <c r="T172" i="1" s="1"/>
  <c r="V172" i="1" s="1"/>
  <c r="X172" i="1" s="1"/>
  <c r="Z172" i="1" s="1"/>
  <c r="AB172" i="1" s="1"/>
  <c r="AD172" i="1" s="1"/>
  <c r="AD159" i="1"/>
  <c r="AB159" i="1"/>
  <c r="Z159" i="1"/>
  <c r="X159" i="1"/>
  <c r="V159" i="1"/>
  <c r="R159" i="1"/>
  <c r="P159" i="1"/>
  <c r="AD142" i="1"/>
  <c r="AB142" i="1"/>
  <c r="Z142" i="1"/>
  <c r="X142" i="1"/>
  <c r="V142" i="1"/>
  <c r="T142" i="1"/>
  <c r="R142" i="1"/>
  <c r="P142" i="1"/>
  <c r="N142" i="1"/>
  <c r="N77" i="1" s="1"/>
  <c r="N141" i="1"/>
  <c r="N93" i="1" s="1"/>
  <c r="L12" i="7"/>
  <c r="J12" i="7"/>
  <c r="H12" i="7"/>
  <c r="F12" i="7"/>
  <c r="D12" i="7"/>
  <c r="L11" i="7"/>
  <c r="J11" i="7"/>
  <c r="H11" i="7"/>
  <c r="F11" i="7"/>
  <c r="D11" i="7"/>
  <c r="N85" i="7"/>
  <c r="V86" i="7"/>
  <c r="AD19" i="2" l="1"/>
  <c r="AD18" i="2" s="1"/>
  <c r="AD28" i="2" s="1"/>
  <c r="N76" i="1"/>
  <c r="R77" i="1"/>
  <c r="T77" i="1"/>
  <c r="AB77" i="1"/>
  <c r="P175" i="1"/>
  <c r="P174" i="1"/>
  <c r="P108" i="1" s="1"/>
  <c r="N108" i="1"/>
  <c r="X77" i="1"/>
  <c r="P77" i="1"/>
  <c r="Z77" i="1"/>
  <c r="P141" i="1"/>
  <c r="P93" i="1" s="1"/>
  <c r="V77" i="1"/>
  <c r="AD77" i="1"/>
  <c r="P76" i="1" l="1"/>
  <c r="R175" i="1"/>
  <c r="R174" i="1"/>
  <c r="R108" i="1" s="1"/>
  <c r="R141" i="1"/>
  <c r="AD85" i="7"/>
  <c r="AB85" i="7"/>
  <c r="Z85" i="7"/>
  <c r="X85" i="7"/>
  <c r="P86" i="7"/>
  <c r="P85" i="7" s="1"/>
  <c r="D77" i="7"/>
  <c r="T86" i="7"/>
  <c r="T85" i="7" s="1"/>
  <c r="R86" i="7"/>
  <c r="R85" i="7" s="1"/>
  <c r="R93" i="1" l="1"/>
  <c r="R76" i="1"/>
  <c r="T175" i="1"/>
  <c r="T174" i="1"/>
  <c r="T108" i="1" s="1"/>
  <c r="T141" i="1"/>
  <c r="D71" i="7"/>
  <c r="L65" i="7"/>
  <c r="L64" i="7"/>
  <c r="N64" i="7" s="1"/>
  <c r="N65" i="7" s="1"/>
  <c r="J65" i="7"/>
  <c r="J64" i="7"/>
  <c r="H65" i="7"/>
  <c r="H64" i="7"/>
  <c r="F65" i="7"/>
  <c r="F64" i="7"/>
  <c r="D65" i="7"/>
  <c r="D64" i="7"/>
  <c r="T76" i="1" l="1"/>
  <c r="T93" i="1"/>
  <c r="V175" i="1"/>
  <c r="V174" i="1"/>
  <c r="V108" i="1" s="1"/>
  <c r="N87" i="7"/>
  <c r="P87" i="7" s="1"/>
  <c r="R87" i="7" s="1"/>
  <c r="T87" i="7" s="1"/>
  <c r="V87" i="7" s="1"/>
  <c r="X87" i="7" s="1"/>
  <c r="Z87" i="7" s="1"/>
  <c r="AB87" i="7" s="1"/>
  <c r="AD87" i="7" s="1"/>
  <c r="F84" i="7"/>
  <c r="J84" i="7"/>
  <c r="H84" i="7"/>
  <c r="L84" i="7"/>
  <c r="L62" i="7"/>
  <c r="J62" i="7"/>
  <c r="H62" i="7"/>
  <c r="F62" i="7"/>
  <c r="L61" i="7"/>
  <c r="J61" i="7"/>
  <c r="H61" i="7"/>
  <c r="F61" i="7"/>
  <c r="P176" i="1"/>
  <c r="R176" i="1" s="1"/>
  <c r="T176" i="1" s="1"/>
  <c r="V176" i="1" s="1"/>
  <c r="X176" i="1" s="1"/>
  <c r="Z176" i="1" s="1"/>
  <c r="AB176" i="1" s="1"/>
  <c r="AD176" i="1" s="1"/>
  <c r="N159" i="1"/>
  <c r="J57" i="7"/>
  <c r="J56" i="7"/>
  <c r="H57" i="7"/>
  <c r="H56" i="7"/>
  <c r="F57" i="7"/>
  <c r="F56" i="7"/>
  <c r="D57" i="7"/>
  <c r="D56" i="7"/>
  <c r="L53" i="7"/>
  <c r="J53" i="7"/>
  <c r="H53" i="7"/>
  <c r="F53" i="7"/>
  <c r="L54" i="7"/>
  <c r="J54" i="7"/>
  <c r="L51" i="7" s="1"/>
  <c r="H54" i="7"/>
  <c r="F54" i="7"/>
  <c r="H51" i="7" s="1"/>
  <c r="D54" i="7"/>
  <c r="F51" i="7" s="1"/>
  <c r="L16" i="7"/>
  <c r="L15" i="7"/>
  <c r="N15" i="7" s="1"/>
  <c r="P15" i="7" s="1"/>
  <c r="R15" i="7" s="1"/>
  <c r="T15" i="7" s="1"/>
  <c r="V15" i="7" s="1"/>
  <c r="X15" i="7" s="1"/>
  <c r="Z15" i="7" s="1"/>
  <c r="AB15" i="7" s="1"/>
  <c r="J16" i="7"/>
  <c r="J15" i="7"/>
  <c r="H16" i="7"/>
  <c r="H15" i="7"/>
  <c r="F16" i="7"/>
  <c r="F15" i="7"/>
  <c r="D16" i="7"/>
  <c r="D15" i="7"/>
  <c r="X175" i="1" l="1"/>
  <c r="N51" i="7"/>
  <c r="N54" i="7" s="1"/>
  <c r="X174" i="1"/>
  <c r="X108" i="1" s="1"/>
  <c r="X16" i="7"/>
  <c r="X12" i="7" s="1"/>
  <c r="P16" i="7"/>
  <c r="P12" i="7" s="1"/>
  <c r="V16" i="7"/>
  <c r="V12" i="7" s="1"/>
  <c r="N16" i="7"/>
  <c r="N12" i="7" s="1"/>
  <c r="R16" i="7"/>
  <c r="R12" i="7" s="1"/>
  <c r="AB16" i="7"/>
  <c r="AB12" i="7" s="1"/>
  <c r="T16" i="7"/>
  <c r="T12" i="7" s="1"/>
  <c r="Z16" i="7"/>
  <c r="Z12" i="7" s="1"/>
  <c r="N49" i="1"/>
  <c r="N42" i="1" s="1"/>
  <c r="N50" i="1"/>
  <c r="N46" i="1" s="1"/>
  <c r="P64" i="7"/>
  <c r="T164" i="1"/>
  <c r="V54" i="7"/>
  <c r="N11" i="7"/>
  <c r="L52" i="7"/>
  <c r="H52" i="7"/>
  <c r="J51" i="7"/>
  <c r="J52" i="7" s="1"/>
  <c r="F52" i="7"/>
  <c r="Z11" i="7"/>
  <c r="V11" i="7"/>
  <c r="AB11" i="7"/>
  <c r="P11" i="7"/>
  <c r="X11" i="7"/>
  <c r="AD11" i="7"/>
  <c r="T11" i="7"/>
  <c r="R11" i="7"/>
  <c r="L127" i="2"/>
  <c r="AD127" i="2" s="1"/>
  <c r="J127" i="2"/>
  <c r="H127" i="2"/>
  <c r="L128" i="2"/>
  <c r="X128" i="2" s="1"/>
  <c r="J128" i="2"/>
  <c r="H128" i="2"/>
  <c r="F128" i="2"/>
  <c r="F127" i="2"/>
  <c r="Z116" i="2"/>
  <c r="X116" i="2"/>
  <c r="V116" i="2"/>
  <c r="V141" i="1" s="1"/>
  <c r="V76" i="1" s="1"/>
  <c r="L118" i="2"/>
  <c r="L108" i="2"/>
  <c r="J108" i="2"/>
  <c r="H108" i="2"/>
  <c r="F108" i="2"/>
  <c r="N8" i="1"/>
  <c r="N118" i="2" l="1"/>
  <c r="N117" i="2" s="1"/>
  <c r="L117" i="2"/>
  <c r="X141" i="1"/>
  <c r="X76" i="1" s="1"/>
  <c r="V93" i="1"/>
  <c r="X51" i="7"/>
  <c r="X54" i="7" s="1"/>
  <c r="X15" i="1"/>
  <c r="Z175" i="1"/>
  <c r="P51" i="7"/>
  <c r="P54" i="7" s="1"/>
  <c r="R51" i="7" s="1"/>
  <c r="R54" i="7" s="1"/>
  <c r="N57" i="7"/>
  <c r="N164" i="1" s="1"/>
  <c r="N104" i="1" s="1"/>
  <c r="Z174" i="1"/>
  <c r="Z108" i="1" s="1"/>
  <c r="P57" i="7"/>
  <c r="P164" i="1" s="1"/>
  <c r="V57" i="7"/>
  <c r="V164" i="1" s="1"/>
  <c r="P49" i="1"/>
  <c r="P42" i="1" s="1"/>
  <c r="P65" i="7"/>
  <c r="P50" i="1" s="1"/>
  <c r="P46" i="1" s="1"/>
  <c r="R64" i="7"/>
  <c r="N128" i="2"/>
  <c r="N25" i="1" s="1"/>
  <c r="T127" i="2"/>
  <c r="V128" i="2"/>
  <c r="AB127" i="2"/>
  <c r="AD128" i="2"/>
  <c r="R127" i="2"/>
  <c r="T128" i="2"/>
  <c r="Z127" i="2"/>
  <c r="AB128" i="2"/>
  <c r="P127" i="2"/>
  <c r="R128" i="2"/>
  <c r="X127" i="2"/>
  <c r="Z128" i="2"/>
  <c r="N127" i="2"/>
  <c r="N24" i="1" s="1"/>
  <c r="P128" i="2"/>
  <c r="V127" i="2"/>
  <c r="Z141" i="1" l="1"/>
  <c r="Z76" i="1" s="1"/>
  <c r="X93" i="1"/>
  <c r="P104" i="1"/>
  <c r="Z51" i="7"/>
  <c r="Z54" i="7" s="1"/>
  <c r="Z15" i="1"/>
  <c r="AB175" i="1"/>
  <c r="T51" i="7"/>
  <c r="T54" i="7" s="1"/>
  <c r="R57" i="7"/>
  <c r="R164" i="1" s="1"/>
  <c r="R104" i="1" s="1"/>
  <c r="AB174" i="1"/>
  <c r="AB108" i="1" s="1"/>
  <c r="X57" i="7"/>
  <c r="X164" i="1" s="1"/>
  <c r="X104" i="1" s="1"/>
  <c r="R65" i="7"/>
  <c r="R50" i="1" s="1"/>
  <c r="R46" i="1" s="1"/>
  <c r="R49" i="1"/>
  <c r="R42" i="1" s="1"/>
  <c r="T64" i="7"/>
  <c r="P118" i="2"/>
  <c r="P29" i="2"/>
  <c r="L49" i="2"/>
  <c r="L48" i="2"/>
  <c r="L35" i="2"/>
  <c r="L34" i="2"/>
  <c r="J49" i="2"/>
  <c r="J48" i="2"/>
  <c r="J35" i="2"/>
  <c r="J34" i="2"/>
  <c r="H49" i="2"/>
  <c r="H48" i="2"/>
  <c r="H34" i="2"/>
  <c r="F48" i="2"/>
  <c r="F49" i="2"/>
  <c r="F34" i="2"/>
  <c r="AB141" i="1" l="1"/>
  <c r="AB76" i="1" s="1"/>
  <c r="Z93" i="1"/>
  <c r="V89" i="7"/>
  <c r="V15" i="1" s="1"/>
  <c r="V91" i="7"/>
  <c r="AB51" i="7"/>
  <c r="AB54" i="7" s="1"/>
  <c r="AB15" i="1"/>
  <c r="AD175" i="1"/>
  <c r="T56" i="7"/>
  <c r="T159" i="1" s="1"/>
  <c r="AD174" i="1"/>
  <c r="AD108" i="1" s="1"/>
  <c r="Z57" i="7"/>
  <c r="Z164" i="1" s="1"/>
  <c r="Z104" i="1" s="1"/>
  <c r="T65" i="7"/>
  <c r="T50" i="1" s="1"/>
  <c r="T46" i="1" s="1"/>
  <c r="T49" i="1"/>
  <c r="T42" i="1" s="1"/>
  <c r="V64" i="7"/>
  <c r="R118" i="2"/>
  <c r="P117" i="2"/>
  <c r="R29" i="2"/>
  <c r="P8" i="1"/>
  <c r="N9" i="1"/>
  <c r="L96" i="2"/>
  <c r="J96" i="2"/>
  <c r="D96" i="2"/>
  <c r="H96" i="2"/>
  <c r="F96" i="2"/>
  <c r="H179" i="1"/>
  <c r="AD141" i="1" l="1"/>
  <c r="AD93" i="1" s="1"/>
  <c r="AB93" i="1"/>
  <c r="T104" i="1"/>
  <c r="V104" i="1"/>
  <c r="AD51" i="7"/>
  <c r="AD54" i="7" s="1"/>
  <c r="AD57" i="7" s="1"/>
  <c r="AD164" i="1" s="1"/>
  <c r="AD15" i="1"/>
  <c r="AB57" i="7"/>
  <c r="AB164" i="1" s="1"/>
  <c r="AB104" i="1" s="1"/>
  <c r="V49" i="1"/>
  <c r="V42" i="1" s="1"/>
  <c r="V65" i="7"/>
  <c r="V50" i="1" s="1"/>
  <c r="V46" i="1" s="1"/>
  <c r="X64" i="7"/>
  <c r="J98" i="2"/>
  <c r="J104" i="2"/>
  <c r="J111" i="2"/>
  <c r="J106" i="2"/>
  <c r="J105" i="2"/>
  <c r="J101" i="2"/>
  <c r="J103" i="2"/>
  <c r="J102" i="2"/>
  <c r="L109" i="2"/>
  <c r="L98" i="2"/>
  <c r="L106" i="2"/>
  <c r="L102" i="2"/>
  <c r="L101" i="2"/>
  <c r="L103" i="2"/>
  <c r="L111" i="2"/>
  <c r="L105" i="2"/>
  <c r="L104" i="2"/>
  <c r="H98" i="2"/>
  <c r="H106" i="2"/>
  <c r="H102" i="2"/>
  <c r="J109" i="2"/>
  <c r="H101" i="2"/>
  <c r="H111" i="2"/>
  <c r="H104" i="2"/>
  <c r="H103" i="2"/>
  <c r="H105" i="2"/>
  <c r="T118" i="2"/>
  <c r="R117" i="2"/>
  <c r="D98" i="2"/>
  <c r="D106" i="2"/>
  <c r="D102" i="2"/>
  <c r="D105" i="2"/>
  <c r="D103" i="2"/>
  <c r="D109" i="2"/>
  <c r="D101" i="2"/>
  <c r="D104" i="2"/>
  <c r="F109" i="2"/>
  <c r="F98" i="2"/>
  <c r="F104" i="2"/>
  <c r="H109" i="2"/>
  <c r="F102" i="2"/>
  <c r="F111" i="2"/>
  <c r="F105" i="2"/>
  <c r="F101" i="2"/>
  <c r="F103" i="2"/>
  <c r="F106" i="2"/>
  <c r="T29" i="2"/>
  <c r="R8" i="1"/>
  <c r="R30" i="2"/>
  <c r="P9" i="1"/>
  <c r="L73" i="2"/>
  <c r="AD104" i="1" l="1"/>
  <c r="N109" i="2"/>
  <c r="R31" i="2"/>
  <c r="R78" i="2" s="1"/>
  <c r="R73" i="2" s="1"/>
  <c r="R77" i="2"/>
  <c r="P47" i="2"/>
  <c r="AD76" i="1"/>
  <c r="X65" i="7"/>
  <c r="X50" i="1" s="1"/>
  <c r="X46" i="1" s="1"/>
  <c r="X49" i="1"/>
  <c r="X42" i="1" s="1"/>
  <c r="Z64" i="7"/>
  <c r="R47" i="2"/>
  <c r="P109" i="2"/>
  <c r="R109" i="2" s="1"/>
  <c r="T109" i="2" s="1"/>
  <c r="V109" i="2" s="1"/>
  <c r="X109" i="2" s="1"/>
  <c r="Z109" i="2" s="1"/>
  <c r="AB109" i="2" s="1"/>
  <c r="AD109" i="2" s="1"/>
  <c r="T117" i="2"/>
  <c r="V118" i="2"/>
  <c r="AD101" i="2"/>
  <c r="V101" i="2"/>
  <c r="N101" i="2"/>
  <c r="T101" i="2"/>
  <c r="R101" i="2"/>
  <c r="X101" i="2"/>
  <c r="P101" i="2"/>
  <c r="AB101" i="2"/>
  <c r="Z101" i="2"/>
  <c r="X103" i="2"/>
  <c r="P103" i="2"/>
  <c r="V103" i="2"/>
  <c r="T103" i="2"/>
  <c r="Z103" i="2"/>
  <c r="R103" i="2"/>
  <c r="AD103" i="2"/>
  <c r="N103" i="2"/>
  <c r="AB103" i="2"/>
  <c r="Z104" i="2"/>
  <c r="R104" i="2"/>
  <c r="X104" i="2"/>
  <c r="V104" i="2"/>
  <c r="AB104" i="2"/>
  <c r="T104" i="2"/>
  <c r="P104" i="2"/>
  <c r="AD104" i="2"/>
  <c r="N104" i="2"/>
  <c r="V29" i="2"/>
  <c r="T8" i="1"/>
  <c r="T30" i="2"/>
  <c r="T77" i="2" s="1"/>
  <c r="R9" i="1"/>
  <c r="F18" i="2"/>
  <c r="F28" i="2" s="1"/>
  <c r="D28" i="2"/>
  <c r="D31" i="2" s="1"/>
  <c r="D111" i="1"/>
  <c r="F111" i="1"/>
  <c r="L111" i="1"/>
  <c r="J111" i="1"/>
  <c r="H111" i="1"/>
  <c r="D97" i="1"/>
  <c r="F97" i="1"/>
  <c r="L97" i="1"/>
  <c r="J97" i="1"/>
  <c r="H97" i="1"/>
  <c r="D89" i="1"/>
  <c r="F89" i="1"/>
  <c r="D161" i="1"/>
  <c r="D169" i="1" s="1"/>
  <c r="D179" i="1"/>
  <c r="L179" i="1"/>
  <c r="J179" i="1"/>
  <c r="F179" i="1"/>
  <c r="F161" i="1"/>
  <c r="H161" i="1"/>
  <c r="F137" i="1"/>
  <c r="D137" i="1"/>
  <c r="H137" i="1"/>
  <c r="D73" i="2"/>
  <c r="F73" i="2"/>
  <c r="H73" i="2"/>
  <c r="N16" i="1" l="1"/>
  <c r="AD102" i="2"/>
  <c r="H169" i="1"/>
  <c r="F115" i="1"/>
  <c r="F117" i="1" s="1"/>
  <c r="V102" i="2"/>
  <c r="Z65" i="7"/>
  <c r="Z50" i="1" s="1"/>
  <c r="Z46" i="1" s="1"/>
  <c r="Z49" i="1"/>
  <c r="Z42" i="1" s="1"/>
  <c r="AB64" i="7"/>
  <c r="F146" i="1"/>
  <c r="AL179" i="1" s="1"/>
  <c r="D180" i="1"/>
  <c r="H146" i="1"/>
  <c r="F169" i="1"/>
  <c r="D146" i="1"/>
  <c r="AJ169" i="1" s="1"/>
  <c r="T47" i="2"/>
  <c r="X102" i="2"/>
  <c r="R102" i="2"/>
  <c r="T102" i="2"/>
  <c r="P102" i="2"/>
  <c r="N102" i="2"/>
  <c r="V117" i="2"/>
  <c r="X118" i="2"/>
  <c r="Z102" i="2"/>
  <c r="AB102" i="2"/>
  <c r="X29" i="2"/>
  <c r="V8" i="1"/>
  <c r="V30" i="2"/>
  <c r="V77" i="2" s="1"/>
  <c r="T9" i="1"/>
  <c r="F31" i="2"/>
  <c r="F50" i="2" s="1"/>
  <c r="F47" i="2"/>
  <c r="H35" i="2"/>
  <c r="F35" i="2"/>
  <c r="D115" i="1"/>
  <c r="D117" i="1" s="1"/>
  <c r="J73" i="2"/>
  <c r="H28" i="2"/>
  <c r="H47" i="2" s="1"/>
  <c r="J28" i="2"/>
  <c r="N7" i="1"/>
  <c r="L161" i="1"/>
  <c r="J161" i="1"/>
  <c r="L137" i="1"/>
  <c r="J137" i="1"/>
  <c r="D46" i="1"/>
  <c r="F46" i="1"/>
  <c r="H46" i="1"/>
  <c r="J46" i="1"/>
  <c r="L46" i="1"/>
  <c r="D42" i="1"/>
  <c r="F42" i="1"/>
  <c r="H42" i="1"/>
  <c r="J42" i="1"/>
  <c r="L42" i="1"/>
  <c r="L27" i="1"/>
  <c r="J27" i="1"/>
  <c r="H27" i="1"/>
  <c r="F27" i="1"/>
  <c r="D27" i="1"/>
  <c r="D18" i="1"/>
  <c r="F18" i="1"/>
  <c r="H18" i="1"/>
  <c r="J18" i="1"/>
  <c r="L18" i="1"/>
  <c r="L10" i="1"/>
  <c r="J10" i="1"/>
  <c r="H10" i="1"/>
  <c r="F10" i="1"/>
  <c r="D10" i="1"/>
  <c r="N59" i="1" l="1"/>
  <c r="D6" i="4"/>
  <c r="AL161" i="1"/>
  <c r="AL137" i="1"/>
  <c r="AR18" i="1"/>
  <c r="AJ18" i="1"/>
  <c r="F10" i="7"/>
  <c r="F23" i="7"/>
  <c r="H10" i="7"/>
  <c r="H14" i="7" s="1"/>
  <c r="H23" i="7"/>
  <c r="AJ27" i="1"/>
  <c r="AR27" i="1"/>
  <c r="J10" i="7"/>
  <c r="J14" i="7" s="1"/>
  <c r="J23" i="7"/>
  <c r="AN18" i="1"/>
  <c r="D23" i="7"/>
  <c r="D10" i="7"/>
  <c r="D14" i="7" s="1"/>
  <c r="L23" i="7"/>
  <c r="L10" i="7"/>
  <c r="AN27" i="1"/>
  <c r="D181" i="1"/>
  <c r="F48" i="7"/>
  <c r="F40" i="7"/>
  <c r="F35" i="7"/>
  <c r="F31" i="7"/>
  <c r="F22" i="7"/>
  <c r="F26" i="7"/>
  <c r="F38" i="7"/>
  <c r="F32" i="7"/>
  <c r="F28" i="7"/>
  <c r="F24" i="7"/>
  <c r="F14" i="7"/>
  <c r="F47" i="7"/>
  <c r="F39" i="7"/>
  <c r="F34" i="7"/>
  <c r="F30" i="7"/>
  <c r="F21" i="7"/>
  <c r="F41" i="7"/>
  <c r="F36" i="7"/>
  <c r="F19" i="7"/>
  <c r="F42" i="7"/>
  <c r="F33" i="7"/>
  <c r="F29" i="7"/>
  <c r="F25" i="7"/>
  <c r="F20" i="7"/>
  <c r="F129" i="2"/>
  <c r="AL32" i="1"/>
  <c r="AL7" i="1"/>
  <c r="F122" i="2"/>
  <c r="AL26" i="1"/>
  <c r="AL10" i="1"/>
  <c r="AL34" i="1"/>
  <c r="AL30" i="1"/>
  <c r="AL25" i="1"/>
  <c r="AL17" i="1"/>
  <c r="AL9" i="1"/>
  <c r="AL24" i="1"/>
  <c r="AL14" i="1"/>
  <c r="AL8" i="1"/>
  <c r="F123" i="2"/>
  <c r="AL13" i="1"/>
  <c r="F112" i="2"/>
  <c r="AN178" i="1"/>
  <c r="AN174" i="1"/>
  <c r="AN168" i="1"/>
  <c r="AN164" i="1"/>
  <c r="AN159" i="1"/>
  <c r="AN155" i="1"/>
  <c r="AN151" i="1"/>
  <c r="AN144" i="1"/>
  <c r="AN140" i="1"/>
  <c r="AN135" i="1"/>
  <c r="AN131" i="1"/>
  <c r="AN177" i="1"/>
  <c r="AN173" i="1"/>
  <c r="AN167" i="1"/>
  <c r="AN163" i="1"/>
  <c r="AN158" i="1"/>
  <c r="AN154" i="1"/>
  <c r="AN176" i="1"/>
  <c r="AN172" i="1"/>
  <c r="AN166" i="1"/>
  <c r="AN157" i="1"/>
  <c r="AN153" i="1"/>
  <c r="AN146" i="1"/>
  <c r="AN142" i="1"/>
  <c r="AN133" i="1"/>
  <c r="AN160" i="1"/>
  <c r="AN175" i="1"/>
  <c r="AN156" i="1"/>
  <c r="AN143" i="1"/>
  <c r="AN134" i="1"/>
  <c r="AN152" i="1"/>
  <c r="AN141" i="1"/>
  <c r="AN132" i="1"/>
  <c r="AN165" i="1"/>
  <c r="AN150" i="1"/>
  <c r="AN139" i="1"/>
  <c r="AN130" i="1"/>
  <c r="AN145" i="1"/>
  <c r="AN136" i="1"/>
  <c r="AN179" i="1"/>
  <c r="AN161" i="1"/>
  <c r="H19" i="1"/>
  <c r="H42" i="7"/>
  <c r="H34" i="7"/>
  <c r="H30" i="7"/>
  <c r="H24" i="7"/>
  <c r="H19" i="7"/>
  <c r="H22" i="7"/>
  <c r="H39" i="7"/>
  <c r="H31" i="7"/>
  <c r="H25" i="7"/>
  <c r="H41" i="7"/>
  <c r="H38" i="7"/>
  <c r="H33" i="7"/>
  <c r="H29" i="7"/>
  <c r="H47" i="7"/>
  <c r="H35" i="7"/>
  <c r="H20" i="7"/>
  <c r="H48" i="7"/>
  <c r="H40" i="7"/>
  <c r="H36" i="7"/>
  <c r="H32" i="7"/>
  <c r="H28" i="7"/>
  <c r="H26" i="7"/>
  <c r="H21" i="7"/>
  <c r="H129" i="2"/>
  <c r="AN32" i="1"/>
  <c r="AN13" i="1"/>
  <c r="AN26" i="1"/>
  <c r="AN10" i="1"/>
  <c r="AN34" i="1"/>
  <c r="AN30" i="1"/>
  <c r="AN25" i="1"/>
  <c r="AN17" i="1"/>
  <c r="AN9" i="1"/>
  <c r="H122" i="2"/>
  <c r="AN24" i="1"/>
  <c r="AN14" i="1"/>
  <c r="AN8" i="1"/>
  <c r="AN7" i="1"/>
  <c r="H123" i="2"/>
  <c r="H112" i="2"/>
  <c r="AP18" i="1"/>
  <c r="D19" i="1"/>
  <c r="AL27" i="1"/>
  <c r="L146" i="1"/>
  <c r="AR137" i="1" s="1"/>
  <c r="AJ161" i="1"/>
  <c r="AL178" i="1"/>
  <c r="AL174" i="1"/>
  <c r="AL168" i="1"/>
  <c r="AL164" i="1"/>
  <c r="AL159" i="1"/>
  <c r="AL155" i="1"/>
  <c r="AL151" i="1"/>
  <c r="AL144" i="1"/>
  <c r="AL140" i="1"/>
  <c r="AL135" i="1"/>
  <c r="AL131" i="1"/>
  <c r="AL176" i="1"/>
  <c r="AL172" i="1"/>
  <c r="AL166" i="1"/>
  <c r="AL157" i="1"/>
  <c r="AL153" i="1"/>
  <c r="AL146" i="1"/>
  <c r="AL142" i="1"/>
  <c r="AL133" i="1"/>
  <c r="AL160" i="1"/>
  <c r="AL141" i="1"/>
  <c r="AL177" i="1"/>
  <c r="AL167" i="1"/>
  <c r="AL158" i="1"/>
  <c r="AL150" i="1"/>
  <c r="AL139" i="1"/>
  <c r="AL130" i="1"/>
  <c r="AL175" i="1"/>
  <c r="AL165" i="1"/>
  <c r="AL156" i="1"/>
  <c r="AL145" i="1"/>
  <c r="AL136" i="1"/>
  <c r="AL173" i="1"/>
  <c r="AL163" i="1"/>
  <c r="AL154" i="1"/>
  <c r="AL143" i="1"/>
  <c r="AL134" i="1"/>
  <c r="AL152" i="1"/>
  <c r="AL132" i="1"/>
  <c r="H180" i="1"/>
  <c r="H181" i="1" s="1"/>
  <c r="AN169" i="1"/>
  <c r="J146" i="1"/>
  <c r="AP137" i="1" s="1"/>
  <c r="F180" i="1"/>
  <c r="F181" i="1" s="1"/>
  <c r="AL169" i="1"/>
  <c r="AJ180" i="1"/>
  <c r="AB65" i="7"/>
  <c r="AB50" i="1" s="1"/>
  <c r="AB46" i="1" s="1"/>
  <c r="AD64" i="7"/>
  <c r="AD65" i="7" s="1"/>
  <c r="AB49" i="1"/>
  <c r="AB42" i="1" s="1"/>
  <c r="AJ178" i="1"/>
  <c r="AJ176" i="1"/>
  <c r="AJ166" i="1"/>
  <c r="AJ153" i="1"/>
  <c r="AJ175" i="1"/>
  <c r="AJ165" i="1"/>
  <c r="AJ160" i="1"/>
  <c r="AJ156" i="1"/>
  <c r="AJ152" i="1"/>
  <c r="AJ145" i="1"/>
  <c r="AJ141" i="1"/>
  <c r="AJ136" i="1"/>
  <c r="AJ132" i="1"/>
  <c r="AJ174" i="1"/>
  <c r="AJ168" i="1"/>
  <c r="AJ164" i="1"/>
  <c r="AJ159" i="1"/>
  <c r="AJ155" i="1"/>
  <c r="AJ151" i="1"/>
  <c r="AJ144" i="1"/>
  <c r="AJ140" i="1"/>
  <c r="AJ135" i="1"/>
  <c r="AJ131" i="1"/>
  <c r="AJ177" i="1"/>
  <c r="AJ173" i="1"/>
  <c r="AJ167" i="1"/>
  <c r="AJ163" i="1"/>
  <c r="AJ158" i="1"/>
  <c r="AJ154" i="1"/>
  <c r="AJ150" i="1"/>
  <c r="AJ143" i="1"/>
  <c r="AJ139" i="1"/>
  <c r="AJ134" i="1"/>
  <c r="AJ130" i="1"/>
  <c r="AJ172" i="1"/>
  <c r="AJ157" i="1"/>
  <c r="AJ146" i="1"/>
  <c r="AJ142" i="1"/>
  <c r="AJ133" i="1"/>
  <c r="J19" i="1"/>
  <c r="J48" i="7"/>
  <c r="J40" i="7"/>
  <c r="J33" i="7"/>
  <c r="J29" i="7"/>
  <c r="J25" i="7"/>
  <c r="J20" i="7"/>
  <c r="J24" i="7"/>
  <c r="J41" i="7"/>
  <c r="J30" i="7"/>
  <c r="J26" i="7"/>
  <c r="J47" i="7"/>
  <c r="J39" i="7"/>
  <c r="J36" i="7"/>
  <c r="J32" i="7"/>
  <c r="J28" i="7"/>
  <c r="J19" i="7"/>
  <c r="J38" i="7"/>
  <c r="J34" i="7"/>
  <c r="J21" i="7"/>
  <c r="J42" i="7"/>
  <c r="J35" i="7"/>
  <c r="J31" i="7"/>
  <c r="J22" i="7"/>
  <c r="AP32" i="1"/>
  <c r="AP13" i="1"/>
  <c r="J129" i="2"/>
  <c r="AP26" i="1"/>
  <c r="AP10" i="1"/>
  <c r="AP34" i="1"/>
  <c r="AP30" i="1"/>
  <c r="AP25" i="1"/>
  <c r="AP17" i="1"/>
  <c r="AP9" i="1"/>
  <c r="AP24" i="1"/>
  <c r="AP14" i="1"/>
  <c r="AP8" i="1"/>
  <c r="J123" i="2"/>
  <c r="AP7" i="1"/>
  <c r="J122" i="2"/>
  <c r="J112" i="2"/>
  <c r="F19" i="1"/>
  <c r="D42" i="7"/>
  <c r="D34" i="7"/>
  <c r="D30" i="7"/>
  <c r="D25" i="7"/>
  <c r="D20" i="7"/>
  <c r="D41" i="7"/>
  <c r="D33" i="7"/>
  <c r="D24" i="7"/>
  <c r="D47" i="7"/>
  <c r="D39" i="7"/>
  <c r="D31" i="7"/>
  <c r="D21" i="7"/>
  <c r="D38" i="7"/>
  <c r="D29" i="7"/>
  <c r="D19" i="7"/>
  <c r="D35" i="7"/>
  <c r="D26" i="7"/>
  <c r="D48" i="7"/>
  <c r="D40" i="7"/>
  <c r="D36" i="7"/>
  <c r="D32" i="7"/>
  <c r="D28" i="7"/>
  <c r="D22" i="7"/>
  <c r="D129" i="2"/>
  <c r="AJ7" i="1"/>
  <c r="AJ26" i="1"/>
  <c r="AJ10" i="1"/>
  <c r="D123" i="2"/>
  <c r="AJ34" i="1"/>
  <c r="AJ30" i="1"/>
  <c r="AJ25" i="1"/>
  <c r="AJ17" i="1"/>
  <c r="AJ9" i="1"/>
  <c r="D122" i="2"/>
  <c r="AJ24" i="1"/>
  <c r="AJ14" i="1"/>
  <c r="AJ8" i="1"/>
  <c r="AJ32" i="1"/>
  <c r="AJ13" i="1"/>
  <c r="L42" i="7"/>
  <c r="L36" i="7"/>
  <c r="L32" i="7"/>
  <c r="L28" i="7"/>
  <c r="L26" i="7"/>
  <c r="L21" i="7"/>
  <c r="L14" i="7"/>
  <c r="L25" i="7"/>
  <c r="L47" i="7"/>
  <c r="L29" i="7"/>
  <c r="L41" i="7"/>
  <c r="L38" i="7"/>
  <c r="L35" i="7"/>
  <c r="L31" i="7"/>
  <c r="L20" i="7"/>
  <c r="L39" i="7"/>
  <c r="L33" i="7"/>
  <c r="L22" i="7"/>
  <c r="L48" i="7"/>
  <c r="L40" i="7"/>
  <c r="L34" i="7"/>
  <c r="L30" i="7"/>
  <c r="L24" i="7"/>
  <c r="L19" i="7"/>
  <c r="N19" i="7" s="1"/>
  <c r="L129" i="2"/>
  <c r="AR26" i="1"/>
  <c r="AR10" i="1"/>
  <c r="L123" i="2"/>
  <c r="AR34" i="1"/>
  <c r="AR30" i="1"/>
  <c r="AR25" i="1"/>
  <c r="AR17" i="1"/>
  <c r="AR9" i="1"/>
  <c r="L122" i="2"/>
  <c r="AR24" i="1"/>
  <c r="AR14" i="1"/>
  <c r="AR8" i="1"/>
  <c r="AR32" i="1"/>
  <c r="AR13" i="1"/>
  <c r="AR7" i="1"/>
  <c r="L112" i="2"/>
  <c r="AL18" i="1"/>
  <c r="L19" i="1"/>
  <c r="AP27" i="1"/>
  <c r="L169" i="1"/>
  <c r="AJ137" i="1"/>
  <c r="AN137" i="1"/>
  <c r="AJ179" i="1"/>
  <c r="V47" i="2"/>
  <c r="X117" i="2"/>
  <c r="Z118" i="2"/>
  <c r="Z29" i="2"/>
  <c r="X8" i="1"/>
  <c r="X30" i="2"/>
  <c r="X77" i="2" s="1"/>
  <c r="V9" i="1"/>
  <c r="N10" i="1"/>
  <c r="N17" i="1" s="1"/>
  <c r="H31" i="2"/>
  <c r="H50" i="2" s="1"/>
  <c r="L31" i="2"/>
  <c r="N31" i="2"/>
  <c r="N78" i="2" s="1"/>
  <c r="P7" i="1"/>
  <c r="L47" i="2"/>
  <c r="J31" i="2"/>
  <c r="J47" i="2"/>
  <c r="J169" i="1"/>
  <c r="N73" i="2" l="1"/>
  <c r="N76" i="2"/>
  <c r="L20" i="1"/>
  <c r="L13" i="5"/>
  <c r="L19" i="5"/>
  <c r="N11" i="1"/>
  <c r="AR161" i="1"/>
  <c r="AP161" i="1"/>
  <c r="Z129" i="2"/>
  <c r="R129" i="2"/>
  <c r="T129" i="2"/>
  <c r="X129" i="2"/>
  <c r="P129" i="2"/>
  <c r="AD129" i="2"/>
  <c r="V129" i="2"/>
  <c r="N129" i="2"/>
  <c r="N26" i="1" s="1"/>
  <c r="N27" i="1" s="1"/>
  <c r="AB129" i="2"/>
  <c r="N156" i="1"/>
  <c r="N83" i="1" s="1"/>
  <c r="N145" i="1"/>
  <c r="N168" i="1"/>
  <c r="N87" i="1" s="1"/>
  <c r="N160" i="1"/>
  <c r="N85" i="1" s="1"/>
  <c r="N155" i="1"/>
  <c r="N136" i="1"/>
  <c r="N153" i="1"/>
  <c r="N166" i="1"/>
  <c r="N157" i="1"/>
  <c r="N31" i="7"/>
  <c r="N154" i="1" s="1"/>
  <c r="Z41" i="7"/>
  <c r="R41" i="7"/>
  <c r="AD41" i="7"/>
  <c r="V41" i="7"/>
  <c r="N41" i="7"/>
  <c r="N167" i="1" s="1"/>
  <c r="N86" i="1" s="1"/>
  <c r="X41" i="7"/>
  <c r="P41" i="7"/>
  <c r="AB41" i="7"/>
  <c r="T41" i="7"/>
  <c r="P19" i="7"/>
  <c r="N133" i="1"/>
  <c r="AD38" i="7"/>
  <c r="V38" i="7"/>
  <c r="Z38" i="7"/>
  <c r="R38" i="7"/>
  <c r="AB38" i="7"/>
  <c r="T38" i="7"/>
  <c r="X38" i="7"/>
  <c r="P38" i="7"/>
  <c r="X39" i="7"/>
  <c r="P39" i="7"/>
  <c r="AB39" i="7"/>
  <c r="T39" i="7"/>
  <c r="AD39" i="7"/>
  <c r="V39" i="7"/>
  <c r="N39" i="7"/>
  <c r="N165" i="1" s="1"/>
  <c r="Z39" i="7"/>
  <c r="R39" i="7"/>
  <c r="AD35" i="7"/>
  <c r="AB35" i="7"/>
  <c r="Z35" i="7"/>
  <c r="X35" i="7"/>
  <c r="V35" i="7"/>
  <c r="T35" i="7"/>
  <c r="R35" i="7"/>
  <c r="P35" i="7"/>
  <c r="N35" i="7"/>
  <c r="N158" i="1" s="1"/>
  <c r="X21" i="7"/>
  <c r="P21" i="7"/>
  <c r="V21" i="7"/>
  <c r="N21" i="7"/>
  <c r="N135" i="1" s="1"/>
  <c r="N73" i="1" s="1"/>
  <c r="Z21" i="7"/>
  <c r="R21" i="7"/>
  <c r="AD21" i="7"/>
  <c r="AB21" i="7"/>
  <c r="T21" i="7"/>
  <c r="AD31" i="7"/>
  <c r="AB31" i="7"/>
  <c r="Z31" i="7"/>
  <c r="X31" i="7"/>
  <c r="V31" i="7"/>
  <c r="T31" i="7"/>
  <c r="R31" i="7"/>
  <c r="P31" i="7"/>
  <c r="AB25" i="7"/>
  <c r="T25" i="7"/>
  <c r="Z25" i="7"/>
  <c r="AD25" i="7"/>
  <c r="V25" i="7"/>
  <c r="N25" i="7"/>
  <c r="N144" i="1" s="1"/>
  <c r="R25" i="7"/>
  <c r="X25" i="7"/>
  <c r="P25" i="7"/>
  <c r="AB29" i="7"/>
  <c r="V29" i="7"/>
  <c r="P29" i="7"/>
  <c r="Z29" i="7"/>
  <c r="X29" i="7"/>
  <c r="R29" i="7"/>
  <c r="AD29" i="7"/>
  <c r="T29" i="7"/>
  <c r="N29" i="7"/>
  <c r="N152" i="1" s="1"/>
  <c r="N82" i="1" s="1"/>
  <c r="AD28" i="7"/>
  <c r="AB28" i="7"/>
  <c r="Z28" i="7"/>
  <c r="X28" i="7"/>
  <c r="V28" i="7"/>
  <c r="T28" i="7"/>
  <c r="R28" i="7"/>
  <c r="P28" i="7"/>
  <c r="N28" i="7"/>
  <c r="N151" i="1" s="1"/>
  <c r="N81" i="1" s="1"/>
  <c r="N14" i="7"/>
  <c r="N10" i="7" s="1"/>
  <c r="N131" i="1" s="1"/>
  <c r="N38" i="7"/>
  <c r="N163" i="1" s="1"/>
  <c r="Z24" i="7"/>
  <c r="R24" i="7"/>
  <c r="AB24" i="7"/>
  <c r="T24" i="7"/>
  <c r="X24" i="7"/>
  <c r="AD24" i="7"/>
  <c r="V24" i="7"/>
  <c r="N24" i="7"/>
  <c r="N143" i="1" s="1"/>
  <c r="P24" i="7"/>
  <c r="F49" i="7"/>
  <c r="AD20" i="7"/>
  <c r="V20" i="7"/>
  <c r="N20" i="7"/>
  <c r="N134" i="1" s="1"/>
  <c r="AB20" i="7"/>
  <c r="T20" i="7"/>
  <c r="X20" i="7"/>
  <c r="Z20" i="7"/>
  <c r="R20" i="7"/>
  <c r="P20" i="7"/>
  <c r="L180" i="1"/>
  <c r="L181" i="1" s="1"/>
  <c r="AR169" i="1"/>
  <c r="D49" i="7"/>
  <c r="AL19" i="1"/>
  <c r="F29" i="1"/>
  <c r="J49" i="7"/>
  <c r="AL180" i="1"/>
  <c r="AP178" i="1"/>
  <c r="AP174" i="1"/>
  <c r="AP168" i="1"/>
  <c r="AP164" i="1"/>
  <c r="AP159" i="1"/>
  <c r="AP155" i="1"/>
  <c r="AP151" i="1"/>
  <c r="AP144" i="1"/>
  <c r="AP140" i="1"/>
  <c r="AP135" i="1"/>
  <c r="AP131" i="1"/>
  <c r="AP177" i="1"/>
  <c r="AP173" i="1"/>
  <c r="AP167" i="1"/>
  <c r="AP163" i="1"/>
  <c r="AP158" i="1"/>
  <c r="AP154" i="1"/>
  <c r="AP150" i="1"/>
  <c r="AP143" i="1"/>
  <c r="AP139" i="1"/>
  <c r="AP134" i="1"/>
  <c r="AP130" i="1"/>
  <c r="AP176" i="1"/>
  <c r="AP172" i="1"/>
  <c r="AP166" i="1"/>
  <c r="AP157" i="1"/>
  <c r="AP153" i="1"/>
  <c r="AP146" i="1"/>
  <c r="AP142" i="1"/>
  <c r="AP133" i="1"/>
  <c r="AP145" i="1"/>
  <c r="AP160" i="1"/>
  <c r="AP141" i="1"/>
  <c r="AP175" i="1"/>
  <c r="AP156" i="1"/>
  <c r="AP136" i="1"/>
  <c r="AP152" i="1"/>
  <c r="AP132" i="1"/>
  <c r="AP165" i="1"/>
  <c r="AP179" i="1"/>
  <c r="AR178" i="1"/>
  <c r="AR174" i="1"/>
  <c r="AR168" i="1"/>
  <c r="AR164" i="1"/>
  <c r="AR159" i="1"/>
  <c r="AR155" i="1"/>
  <c r="AR151" i="1"/>
  <c r="AR144" i="1"/>
  <c r="AR140" i="1"/>
  <c r="AR135" i="1"/>
  <c r="AR131" i="1"/>
  <c r="AR177" i="1"/>
  <c r="AR173" i="1"/>
  <c r="AR167" i="1"/>
  <c r="AR163" i="1"/>
  <c r="AR158" i="1"/>
  <c r="AR154" i="1"/>
  <c r="AR150" i="1"/>
  <c r="AR143" i="1"/>
  <c r="AR139" i="1"/>
  <c r="AR134" i="1"/>
  <c r="AR130" i="1"/>
  <c r="AR176" i="1"/>
  <c r="AR172" i="1"/>
  <c r="AR166" i="1"/>
  <c r="AR157" i="1"/>
  <c r="AR153" i="1"/>
  <c r="AR146" i="1"/>
  <c r="AR142" i="1"/>
  <c r="AR133" i="1"/>
  <c r="AR152" i="1"/>
  <c r="AR132" i="1"/>
  <c r="AR165" i="1"/>
  <c r="AR145" i="1"/>
  <c r="AR160" i="1"/>
  <c r="AR141" i="1"/>
  <c r="AR175" i="1"/>
  <c r="AR156" i="1"/>
  <c r="AR136" i="1"/>
  <c r="AR179" i="1"/>
  <c r="H29" i="1"/>
  <c r="H21" i="1"/>
  <c r="H12" i="5" s="1"/>
  <c r="AN19" i="1"/>
  <c r="L49" i="7"/>
  <c r="J29" i="1"/>
  <c r="J21" i="1"/>
  <c r="AP19" i="1"/>
  <c r="AD50" i="1"/>
  <c r="AD46" i="1" s="1"/>
  <c r="AD49" i="1"/>
  <c r="AD42" i="1" s="1"/>
  <c r="X14" i="7"/>
  <c r="X10" i="7" s="1"/>
  <c r="AB14" i="7"/>
  <c r="AB10" i="7" s="1"/>
  <c r="T14" i="7"/>
  <c r="T10" i="7" s="1"/>
  <c r="Z14" i="7"/>
  <c r="Z10" i="7" s="1"/>
  <c r="AD14" i="7"/>
  <c r="AD10" i="7" s="1"/>
  <c r="P14" i="7"/>
  <c r="P10" i="7" s="1"/>
  <c r="V14" i="7"/>
  <c r="V10" i="7" s="1"/>
  <c r="R14" i="7"/>
  <c r="R10" i="7" s="1"/>
  <c r="J180" i="1"/>
  <c r="J181" i="1" s="1"/>
  <c r="AP169" i="1"/>
  <c r="L29" i="1"/>
  <c r="L21" i="1"/>
  <c r="AR19" i="1"/>
  <c r="Z122" i="2"/>
  <c r="X122" i="2"/>
  <c r="N122" i="2"/>
  <c r="N13" i="1" s="1"/>
  <c r="N11" i="5" s="1"/>
  <c r="T122" i="2"/>
  <c r="V122" i="2"/>
  <c r="R122" i="2"/>
  <c r="AB122" i="2"/>
  <c r="AD122" i="2"/>
  <c r="P122" i="2"/>
  <c r="AN180" i="1"/>
  <c r="D29" i="1"/>
  <c r="AJ19" i="1"/>
  <c r="H49" i="7"/>
  <c r="Z112" i="2"/>
  <c r="AB112" i="2" s="1"/>
  <c r="AD112" i="2" s="1"/>
  <c r="AT7" i="1"/>
  <c r="X47" i="2"/>
  <c r="Z117" i="2"/>
  <c r="AB118" i="2"/>
  <c r="J50" i="2"/>
  <c r="AB29" i="2"/>
  <c r="Z8" i="1"/>
  <c r="Z30" i="2"/>
  <c r="Z77" i="2" s="1"/>
  <c r="X9" i="1"/>
  <c r="P10" i="1"/>
  <c r="N48" i="7"/>
  <c r="AT34" i="1"/>
  <c r="AT10" i="1"/>
  <c r="AT9" i="1"/>
  <c r="AT8" i="1"/>
  <c r="N47" i="7"/>
  <c r="AT24" i="1"/>
  <c r="AT32" i="1"/>
  <c r="AT25" i="1"/>
  <c r="P31" i="2"/>
  <c r="P78" i="2" s="1"/>
  <c r="P73" i="2" s="1"/>
  <c r="R7" i="1"/>
  <c r="N50" i="2"/>
  <c r="L50" i="2"/>
  <c r="L12" i="5" l="1"/>
  <c r="L22" i="1"/>
  <c r="J12" i="5"/>
  <c r="J22" i="1"/>
  <c r="N70" i="1"/>
  <c r="P11" i="1"/>
  <c r="P25" i="1"/>
  <c r="AV25" i="1" s="1"/>
  <c r="N105" i="1"/>
  <c r="N88" i="1"/>
  <c r="N107" i="1"/>
  <c r="N72" i="1"/>
  <c r="N84" i="1"/>
  <c r="N78" i="1"/>
  <c r="N79" i="1"/>
  <c r="N74" i="1"/>
  <c r="AT17" i="1"/>
  <c r="AT27" i="1"/>
  <c r="AT26" i="1"/>
  <c r="P166" i="1"/>
  <c r="P158" i="1"/>
  <c r="P154" i="1"/>
  <c r="P144" i="1"/>
  <c r="P78" i="1" s="1"/>
  <c r="P140" i="1"/>
  <c r="P165" i="1"/>
  <c r="P157" i="1"/>
  <c r="P153" i="1"/>
  <c r="P168" i="1"/>
  <c r="P87" i="1" s="1"/>
  <c r="P160" i="1"/>
  <c r="P85" i="1" s="1"/>
  <c r="P156" i="1"/>
  <c r="P83" i="1" s="1"/>
  <c r="P152" i="1"/>
  <c r="P82" i="1" s="1"/>
  <c r="P26" i="1"/>
  <c r="AV26" i="1" s="1"/>
  <c r="P167" i="1"/>
  <c r="P86" i="1" s="1"/>
  <c r="P163" i="1"/>
  <c r="P155" i="1"/>
  <c r="P143" i="1"/>
  <c r="P136" i="1"/>
  <c r="P151" i="1"/>
  <c r="P81" i="1" s="1"/>
  <c r="P145" i="1"/>
  <c r="P135" i="1"/>
  <c r="AT13" i="1"/>
  <c r="N150" i="1"/>
  <c r="N80" i="1" s="1"/>
  <c r="N132" i="1"/>
  <c r="N71" i="1" s="1"/>
  <c r="P131" i="1"/>
  <c r="P134" i="1"/>
  <c r="R19" i="7"/>
  <c r="P133" i="1"/>
  <c r="AP180" i="1"/>
  <c r="H31" i="1"/>
  <c r="AN29" i="1"/>
  <c r="H133" i="2"/>
  <c r="F31" i="1"/>
  <c r="F133" i="2"/>
  <c r="AL29" i="1"/>
  <c r="N111" i="2"/>
  <c r="D31" i="1"/>
  <c r="D133" i="2"/>
  <c r="AJ29" i="1"/>
  <c r="L31" i="1"/>
  <c r="L133" i="2"/>
  <c r="AR29" i="1"/>
  <c r="J31" i="1"/>
  <c r="J133" i="2"/>
  <c r="AP29" i="1"/>
  <c r="AR180" i="1"/>
  <c r="P13" i="1"/>
  <c r="P11" i="5" s="1"/>
  <c r="Z47" i="2"/>
  <c r="P50" i="2"/>
  <c r="AB117" i="2"/>
  <c r="AD118" i="2"/>
  <c r="AD117" i="2" s="1"/>
  <c r="AD29" i="2"/>
  <c r="AD8" i="1" s="1"/>
  <c r="AB8" i="1"/>
  <c r="N49" i="7"/>
  <c r="AB30" i="2"/>
  <c r="AB77" i="2" s="1"/>
  <c r="Z9" i="1"/>
  <c r="R10" i="1"/>
  <c r="P48" i="7"/>
  <c r="AV9" i="1"/>
  <c r="AV34" i="1"/>
  <c r="AV10" i="1"/>
  <c r="P47" i="7"/>
  <c r="AV32" i="1"/>
  <c r="P111" i="2"/>
  <c r="F8" i="4" s="1"/>
  <c r="AV8" i="1"/>
  <c r="AV7" i="1"/>
  <c r="T7" i="1"/>
  <c r="N185" i="1" l="1"/>
  <c r="D8" i="4"/>
  <c r="N96" i="2"/>
  <c r="N92" i="2" s="1"/>
  <c r="AV13" i="1"/>
  <c r="N111" i="1"/>
  <c r="P70" i="1"/>
  <c r="R135" i="1"/>
  <c r="R73" i="1" s="1"/>
  <c r="R11" i="1"/>
  <c r="R25" i="1"/>
  <c r="AX25" i="1" s="1"/>
  <c r="P105" i="1"/>
  <c r="P107" i="1"/>
  <c r="P84" i="1"/>
  <c r="P72" i="1"/>
  <c r="P79" i="1"/>
  <c r="P88" i="1"/>
  <c r="P74" i="1"/>
  <c r="R134" i="1"/>
  <c r="R131" i="1"/>
  <c r="P150" i="1"/>
  <c r="P132" i="1"/>
  <c r="P73" i="1"/>
  <c r="R168" i="1"/>
  <c r="R87" i="1" s="1"/>
  <c r="R155" i="1"/>
  <c r="R151" i="1"/>
  <c r="R81" i="1" s="1"/>
  <c r="R145" i="1"/>
  <c r="R26" i="1"/>
  <c r="AX26" i="1" s="1"/>
  <c r="R167" i="1"/>
  <c r="R86" i="1" s="1"/>
  <c r="R163" i="1"/>
  <c r="R158" i="1"/>
  <c r="R154" i="1"/>
  <c r="R166" i="1"/>
  <c r="R157" i="1"/>
  <c r="R153" i="1"/>
  <c r="R143" i="1"/>
  <c r="R160" i="1"/>
  <c r="R85" i="1" s="1"/>
  <c r="R140" i="1"/>
  <c r="R152" i="1"/>
  <c r="R82" i="1" s="1"/>
  <c r="R144" i="1"/>
  <c r="R165" i="1"/>
  <c r="R156" i="1"/>
  <c r="R83" i="1" s="1"/>
  <c r="R136" i="1"/>
  <c r="P96" i="2"/>
  <c r="N161" i="1"/>
  <c r="N169" i="1" s="1"/>
  <c r="T19" i="7"/>
  <c r="R133" i="1"/>
  <c r="F33" i="1"/>
  <c r="AL31" i="1"/>
  <c r="J33" i="1"/>
  <c r="AP31" i="1"/>
  <c r="D33" i="1"/>
  <c r="AJ31" i="1"/>
  <c r="L33" i="1"/>
  <c r="AR31" i="1"/>
  <c r="H33" i="1"/>
  <c r="AN31" i="1"/>
  <c r="AX7" i="1"/>
  <c r="R13" i="1"/>
  <c r="R11" i="5" s="1"/>
  <c r="AB47" i="2"/>
  <c r="R50" i="2"/>
  <c r="AD30" i="2"/>
  <c r="AB9" i="1"/>
  <c r="T10" i="1"/>
  <c r="P49" i="7"/>
  <c r="AX9" i="1"/>
  <c r="AX8" i="1"/>
  <c r="AX32" i="1"/>
  <c r="R47" i="7"/>
  <c r="R48" i="7"/>
  <c r="AX10" i="1"/>
  <c r="AX34" i="1"/>
  <c r="R111" i="2"/>
  <c r="H8" i="4" s="1"/>
  <c r="V7" i="1"/>
  <c r="T31" i="2"/>
  <c r="T78" i="2" s="1"/>
  <c r="T73" i="2" s="1"/>
  <c r="P14" i="1" l="1"/>
  <c r="AV14" i="1" s="1"/>
  <c r="AD9" i="1"/>
  <c r="AD77" i="2"/>
  <c r="AD47" i="2"/>
  <c r="F7" i="4"/>
  <c r="D7" i="4"/>
  <c r="T11" i="1"/>
  <c r="T25" i="1"/>
  <c r="AZ25" i="1" s="1"/>
  <c r="R105" i="1"/>
  <c r="R84" i="1"/>
  <c r="R107" i="1"/>
  <c r="R78" i="1"/>
  <c r="R72" i="1"/>
  <c r="R79" i="1"/>
  <c r="R75" i="1"/>
  <c r="R74" i="1"/>
  <c r="R88" i="1"/>
  <c r="P92" i="2"/>
  <c r="P95" i="2"/>
  <c r="P91" i="2"/>
  <c r="P93" i="2"/>
  <c r="P94" i="2"/>
  <c r="R108" i="2"/>
  <c r="N98" i="2"/>
  <c r="N139" i="1" s="1"/>
  <c r="N92" i="1" s="1"/>
  <c r="N97" i="1" s="1"/>
  <c r="N91" i="2"/>
  <c r="N93" i="2"/>
  <c r="N95" i="2"/>
  <c r="N94" i="2"/>
  <c r="P108" i="2"/>
  <c r="R96" i="2"/>
  <c r="T166" i="1"/>
  <c r="T160" i="1"/>
  <c r="T85" i="1" s="1"/>
  <c r="T156" i="1"/>
  <c r="T83" i="1" s="1"/>
  <c r="T152" i="1"/>
  <c r="T82" i="1" s="1"/>
  <c r="T165" i="1"/>
  <c r="T155" i="1"/>
  <c r="T151" i="1"/>
  <c r="T81" i="1" s="1"/>
  <c r="T168" i="1"/>
  <c r="T87" i="1" s="1"/>
  <c r="T158" i="1"/>
  <c r="T154" i="1"/>
  <c r="T144" i="1"/>
  <c r="T78" i="1" s="1"/>
  <c r="T140" i="1"/>
  <c r="T75" i="1" s="1"/>
  <c r="T163" i="1"/>
  <c r="T136" i="1"/>
  <c r="T153" i="1"/>
  <c r="T26" i="1"/>
  <c r="AZ26" i="1" s="1"/>
  <c r="T167" i="1"/>
  <c r="T86" i="1" s="1"/>
  <c r="T157" i="1"/>
  <c r="T145" i="1"/>
  <c r="T79" i="1" s="1"/>
  <c r="T143" i="1"/>
  <c r="T131" i="1"/>
  <c r="T135" i="1"/>
  <c r="T134" i="1"/>
  <c r="R150" i="1"/>
  <c r="R132" i="1"/>
  <c r="R71" i="1" s="1"/>
  <c r="P71" i="1"/>
  <c r="P80" i="1"/>
  <c r="P161" i="1"/>
  <c r="P169" i="1" s="1"/>
  <c r="R70" i="1"/>
  <c r="V19" i="7"/>
  <c r="T133" i="1"/>
  <c r="R49" i="7"/>
  <c r="AR33" i="1"/>
  <c r="L35" i="1"/>
  <c r="L45" i="1"/>
  <c r="L47" i="1" s="1"/>
  <c r="L41" i="1"/>
  <c r="L43" i="1" s="1"/>
  <c r="AP33" i="1"/>
  <c r="J35" i="1"/>
  <c r="J45" i="1"/>
  <c r="J47" i="1" s="1"/>
  <c r="J41" i="1"/>
  <c r="J43" i="1" s="1"/>
  <c r="AN33" i="1"/>
  <c r="H41" i="1"/>
  <c r="H43" i="1" s="1"/>
  <c r="H45" i="1"/>
  <c r="H47" i="1" s="1"/>
  <c r="H35" i="1"/>
  <c r="AJ33" i="1"/>
  <c r="D35" i="1"/>
  <c r="D41" i="1"/>
  <c r="D43" i="1" s="1"/>
  <c r="D47" i="1"/>
  <c r="AL33" i="1"/>
  <c r="F41" i="1"/>
  <c r="F43" i="1" s="1"/>
  <c r="F45" i="1"/>
  <c r="F47" i="1" s="1"/>
  <c r="F35" i="1"/>
  <c r="AZ7" i="1"/>
  <c r="T13" i="1"/>
  <c r="T11" i="5" s="1"/>
  <c r="AX13" i="1"/>
  <c r="N14" i="1"/>
  <c r="N18" i="1" s="1"/>
  <c r="N19" i="1" s="1"/>
  <c r="T50" i="2"/>
  <c r="T48" i="7"/>
  <c r="AZ34" i="1"/>
  <c r="AZ10" i="1"/>
  <c r="T47" i="7"/>
  <c r="AZ9" i="1"/>
  <c r="AZ8" i="1"/>
  <c r="AZ32" i="1"/>
  <c r="T111" i="2"/>
  <c r="J8" i="4" s="1"/>
  <c r="V10" i="1"/>
  <c r="V31" i="2"/>
  <c r="V78" i="2" s="1"/>
  <c r="X7" i="1"/>
  <c r="V73" i="2" l="1"/>
  <c r="V76" i="2"/>
  <c r="R94" i="2"/>
  <c r="R95" i="2"/>
  <c r="N37" i="1"/>
  <c r="L8" i="5"/>
  <c r="L36" i="1"/>
  <c r="L14" i="5"/>
  <c r="L7" i="5"/>
  <c r="L6" i="5"/>
  <c r="V11" i="1"/>
  <c r="N29" i="1"/>
  <c r="N19" i="5"/>
  <c r="N13" i="5"/>
  <c r="N20" i="1"/>
  <c r="T70" i="1"/>
  <c r="V25" i="1"/>
  <c r="BB25" i="1" s="1"/>
  <c r="T105" i="1"/>
  <c r="T84" i="1"/>
  <c r="T107" i="1"/>
  <c r="R92" i="2"/>
  <c r="T72" i="1"/>
  <c r="T74" i="1"/>
  <c r="P97" i="2"/>
  <c r="P16" i="1"/>
  <c r="R59" i="1"/>
  <c r="R16" i="1"/>
  <c r="H6" i="4" s="1"/>
  <c r="T108" i="2"/>
  <c r="R91" i="2"/>
  <c r="T73" i="1"/>
  <c r="P59" i="1"/>
  <c r="V168" i="1"/>
  <c r="V87" i="1" s="1"/>
  <c r="V157" i="1"/>
  <c r="V153" i="1"/>
  <c r="V143" i="1"/>
  <c r="V26" i="1"/>
  <c r="BB26" i="1" s="1"/>
  <c r="V167" i="1"/>
  <c r="V86" i="1" s="1"/>
  <c r="V163" i="1"/>
  <c r="V160" i="1"/>
  <c r="V85" i="1" s="1"/>
  <c r="V156" i="1"/>
  <c r="V83" i="1" s="1"/>
  <c r="V152" i="1"/>
  <c r="V82" i="1" s="1"/>
  <c r="V166" i="1"/>
  <c r="V155" i="1"/>
  <c r="V151" i="1"/>
  <c r="V81" i="1" s="1"/>
  <c r="V145" i="1"/>
  <c r="V165" i="1"/>
  <c r="V136" i="1"/>
  <c r="V140" i="1"/>
  <c r="V144" i="1"/>
  <c r="V158" i="1"/>
  <c r="V154" i="1"/>
  <c r="V135" i="1"/>
  <c r="V134" i="1"/>
  <c r="V131" i="1"/>
  <c r="R93" i="2"/>
  <c r="T88" i="1"/>
  <c r="T96" i="2"/>
  <c r="V108" i="2" s="1"/>
  <c r="T150" i="1"/>
  <c r="T132" i="1"/>
  <c r="R80" i="1"/>
  <c r="R161" i="1"/>
  <c r="R169" i="1" s="1"/>
  <c r="X19" i="7"/>
  <c r="V133" i="1"/>
  <c r="F39" i="1"/>
  <c r="AL35" i="1"/>
  <c r="AN35" i="1"/>
  <c r="H56" i="1"/>
  <c r="H89" i="1" s="1"/>
  <c r="H115" i="1" s="1"/>
  <c r="H117" i="1" s="1"/>
  <c r="H39" i="1"/>
  <c r="D39" i="1"/>
  <c r="AJ35" i="1"/>
  <c r="AP35" i="1"/>
  <c r="J56" i="1"/>
  <c r="J89" i="1" s="1"/>
  <c r="J115" i="1" s="1"/>
  <c r="J117" i="1" s="1"/>
  <c r="J39" i="1"/>
  <c r="AR35" i="1"/>
  <c r="L56" i="1"/>
  <c r="L89" i="1" s="1"/>
  <c r="L115" i="1" s="1"/>
  <c r="L117" i="1" s="1"/>
  <c r="N116" i="1" s="1"/>
  <c r="L39" i="1"/>
  <c r="BB7" i="1"/>
  <c r="V13" i="1"/>
  <c r="AZ13" i="1"/>
  <c r="R14" i="1"/>
  <c r="AT14" i="1"/>
  <c r="V50" i="2"/>
  <c r="X10" i="1"/>
  <c r="T49" i="7"/>
  <c r="V47" i="7"/>
  <c r="V48" i="7"/>
  <c r="BB8" i="1"/>
  <c r="BB9" i="1"/>
  <c r="BB32" i="1"/>
  <c r="BB34" i="1"/>
  <c r="BB10" i="1"/>
  <c r="V111" i="2"/>
  <c r="L8" i="4" s="1"/>
  <c r="X31" i="2"/>
  <c r="X78" i="2" s="1"/>
  <c r="Z7" i="1"/>
  <c r="X73" i="2" l="1"/>
  <c r="X76" i="2"/>
  <c r="V11" i="5"/>
  <c r="V132" i="1"/>
  <c r="J7" i="4"/>
  <c r="V70" i="1"/>
  <c r="P17" i="1"/>
  <c r="AV17" i="1" s="1"/>
  <c r="F6" i="4"/>
  <c r="H7" i="4"/>
  <c r="X11" i="1"/>
  <c r="X25" i="1"/>
  <c r="BD25" i="1" s="1"/>
  <c r="V105" i="1"/>
  <c r="R17" i="1"/>
  <c r="AX17" i="1" s="1"/>
  <c r="V107" i="1"/>
  <c r="V84" i="1"/>
  <c r="V72" i="1"/>
  <c r="V78" i="1"/>
  <c r="V79" i="1"/>
  <c r="V75" i="1"/>
  <c r="T91" i="2"/>
  <c r="V74" i="1"/>
  <c r="T59" i="1"/>
  <c r="T16" i="1"/>
  <c r="J6" i="4" s="1"/>
  <c r="V59" i="1"/>
  <c r="V16" i="1"/>
  <c r="L6" i="4" s="1"/>
  <c r="T93" i="2"/>
  <c r="T94" i="2"/>
  <c r="T92" i="2"/>
  <c r="T95" i="2"/>
  <c r="X166" i="1"/>
  <c r="X158" i="1"/>
  <c r="X154" i="1"/>
  <c r="X144" i="1"/>
  <c r="X140" i="1"/>
  <c r="X75" i="1" s="1"/>
  <c r="X165" i="1"/>
  <c r="X157" i="1"/>
  <c r="X153" i="1"/>
  <c r="X168" i="1"/>
  <c r="X87" i="1" s="1"/>
  <c r="X160" i="1"/>
  <c r="X85" i="1" s="1"/>
  <c r="X156" i="1"/>
  <c r="X83" i="1" s="1"/>
  <c r="X152" i="1"/>
  <c r="X82" i="1" s="1"/>
  <c r="X151" i="1"/>
  <c r="X81" i="1" s="1"/>
  <c r="X155" i="1"/>
  <c r="X136" i="1"/>
  <c r="X26" i="1"/>
  <c r="BD26" i="1" s="1"/>
  <c r="X167" i="1"/>
  <c r="X86" i="1" s="1"/>
  <c r="X163" i="1"/>
  <c r="X143" i="1"/>
  <c r="X145" i="1"/>
  <c r="X134" i="1"/>
  <c r="X135" i="1"/>
  <c r="X73" i="1" s="1"/>
  <c r="X131" i="1"/>
  <c r="BB13" i="1"/>
  <c r="V150" i="1"/>
  <c r="V96" i="2"/>
  <c r="V94" i="2" s="1"/>
  <c r="V73" i="1"/>
  <c r="T80" i="1"/>
  <c r="T161" i="1"/>
  <c r="T169" i="1" s="1"/>
  <c r="P98" i="2"/>
  <c r="P139" i="1" s="1"/>
  <c r="P92" i="1" s="1"/>
  <c r="P97" i="1" s="1"/>
  <c r="R97" i="2"/>
  <c r="T71" i="1"/>
  <c r="V88" i="1"/>
  <c r="Z19" i="7"/>
  <c r="X133" i="1"/>
  <c r="BD7" i="1"/>
  <c r="X13" i="1"/>
  <c r="BD13" i="1" s="1"/>
  <c r="T14" i="1"/>
  <c r="AX14" i="1"/>
  <c r="AT18" i="1"/>
  <c r="X50" i="2"/>
  <c r="V49" i="7"/>
  <c r="Z10" i="1"/>
  <c r="BD32" i="1"/>
  <c r="BD8" i="1"/>
  <c r="BD9" i="1"/>
  <c r="X48" i="7"/>
  <c r="X47" i="7"/>
  <c r="BD34" i="1"/>
  <c r="BD10" i="1"/>
  <c r="X111" i="2"/>
  <c r="N8" i="4" s="1"/>
  <c r="AB7" i="1"/>
  <c r="Z31" i="2"/>
  <c r="Z78" i="2" s="1"/>
  <c r="V185" i="1" l="1"/>
  <c r="L7" i="4" s="1"/>
  <c r="Z73" i="2"/>
  <c r="Z76" i="2"/>
  <c r="X88" i="1"/>
  <c r="X11" i="5"/>
  <c r="Z11" i="1"/>
  <c r="X70" i="1"/>
  <c r="Z25" i="1"/>
  <c r="BF25" i="1" s="1"/>
  <c r="X105" i="1"/>
  <c r="R18" i="1"/>
  <c r="AX18" i="1" s="1"/>
  <c r="BB17" i="1"/>
  <c r="T17" i="1"/>
  <c r="AZ17" i="1" s="1"/>
  <c r="X107" i="1"/>
  <c r="X84" i="1"/>
  <c r="X72" i="1"/>
  <c r="X79" i="1"/>
  <c r="X78" i="1"/>
  <c r="X74" i="1"/>
  <c r="P18" i="1"/>
  <c r="AT29" i="1"/>
  <c r="N21" i="1"/>
  <c r="V91" i="2"/>
  <c r="V93" i="2"/>
  <c r="X108" i="2"/>
  <c r="V95" i="2"/>
  <c r="V92" i="2"/>
  <c r="R98" i="2"/>
  <c r="R139" i="1" s="1"/>
  <c r="R92" i="1" s="1"/>
  <c r="R97" i="1" s="1"/>
  <c r="T97" i="2"/>
  <c r="X96" i="2"/>
  <c r="Z108" i="2" s="1"/>
  <c r="Z168" i="1"/>
  <c r="Z87" i="1" s="1"/>
  <c r="Z155" i="1"/>
  <c r="Z151" i="1"/>
  <c r="Z81" i="1" s="1"/>
  <c r="Z145" i="1"/>
  <c r="Z26" i="1"/>
  <c r="BF26" i="1" s="1"/>
  <c r="Z167" i="1"/>
  <c r="Z86" i="1" s="1"/>
  <c r="Z163" i="1"/>
  <c r="Z158" i="1"/>
  <c r="Z154" i="1"/>
  <c r="Z166" i="1"/>
  <c r="Z157" i="1"/>
  <c r="Z153" i="1"/>
  <c r="Z143" i="1"/>
  <c r="Z156" i="1"/>
  <c r="Z83" i="1" s="1"/>
  <c r="Z140" i="1"/>
  <c r="Z152" i="1"/>
  <c r="Z82" i="1" s="1"/>
  <c r="Z160" i="1"/>
  <c r="Z85" i="1" s="1"/>
  <c r="Z136" i="1"/>
  <c r="Z165" i="1"/>
  <c r="Z144" i="1"/>
  <c r="Z131" i="1"/>
  <c r="Z135" i="1"/>
  <c r="Z134" i="1"/>
  <c r="X150" i="1"/>
  <c r="X132" i="1"/>
  <c r="X71" i="1" s="1"/>
  <c r="V71" i="1"/>
  <c r="V80" i="1"/>
  <c r="V161" i="1"/>
  <c r="V169" i="1" s="1"/>
  <c r="AB19" i="7"/>
  <c r="Z133" i="1"/>
  <c r="BF7" i="1"/>
  <c r="Z13" i="1"/>
  <c r="BF13" i="1" s="1"/>
  <c r="V14" i="1"/>
  <c r="AZ14" i="1"/>
  <c r="AT19" i="1"/>
  <c r="Z50" i="2"/>
  <c r="AB10" i="1"/>
  <c r="BF10" i="1"/>
  <c r="BF34" i="1"/>
  <c r="BF9" i="1"/>
  <c r="BF8" i="1"/>
  <c r="Z47" i="7"/>
  <c r="BF32" i="1"/>
  <c r="Z48" i="7"/>
  <c r="Z111" i="2"/>
  <c r="P8" i="4" s="1"/>
  <c r="X49" i="7"/>
  <c r="AB31" i="2"/>
  <c r="AB78" i="2" s="1"/>
  <c r="X185" i="1" l="1"/>
  <c r="AB73" i="2"/>
  <c r="AB76" i="2"/>
  <c r="R19" i="1"/>
  <c r="R13" i="5" s="1"/>
  <c r="AB11" i="1"/>
  <c r="N22" i="1"/>
  <c r="N12" i="5"/>
  <c r="D4" i="4"/>
  <c r="D9" i="4" s="1"/>
  <c r="D13" i="4" s="1"/>
  <c r="Z11" i="5"/>
  <c r="X93" i="2"/>
  <c r="AB25" i="1"/>
  <c r="BH25" i="1" s="1"/>
  <c r="Z105" i="1"/>
  <c r="T18" i="1"/>
  <c r="AZ18" i="1" s="1"/>
  <c r="X92" i="2"/>
  <c r="Z107" i="1"/>
  <c r="Z84" i="1"/>
  <c r="N30" i="1"/>
  <c r="AT30" i="1" s="1"/>
  <c r="Z78" i="1"/>
  <c r="Z79" i="1"/>
  <c r="Z72" i="1"/>
  <c r="Z75" i="1"/>
  <c r="Z88" i="1"/>
  <c r="Z74" i="1"/>
  <c r="X59" i="1"/>
  <c r="X16" i="1"/>
  <c r="N6" i="4" s="1"/>
  <c r="Z59" i="1"/>
  <c r="Z16" i="1"/>
  <c r="P6" i="4" s="1"/>
  <c r="AV18" i="1"/>
  <c r="P19" i="1"/>
  <c r="X80" i="1"/>
  <c r="X161" i="1"/>
  <c r="X169" i="1" s="1"/>
  <c r="T98" i="2"/>
  <c r="T139" i="1" s="1"/>
  <c r="T92" i="1" s="1"/>
  <c r="T97" i="1" s="1"/>
  <c r="V97" i="2"/>
  <c r="X95" i="2"/>
  <c r="X91" i="2"/>
  <c r="Z150" i="1"/>
  <c r="Z132" i="1"/>
  <c r="Z71" i="1" s="1"/>
  <c r="Z96" i="2"/>
  <c r="Z94" i="2" s="1"/>
  <c r="X94" i="2"/>
  <c r="AB166" i="1"/>
  <c r="AB160" i="1"/>
  <c r="AB85" i="1" s="1"/>
  <c r="AB156" i="1"/>
  <c r="AB83" i="1" s="1"/>
  <c r="AB152" i="1"/>
  <c r="AB82" i="1" s="1"/>
  <c r="AB165" i="1"/>
  <c r="AB155" i="1"/>
  <c r="AB151" i="1"/>
  <c r="AB81" i="1" s="1"/>
  <c r="AB168" i="1"/>
  <c r="AB87" i="1" s="1"/>
  <c r="AB158" i="1"/>
  <c r="AB154" i="1"/>
  <c r="AB144" i="1"/>
  <c r="AB140" i="1"/>
  <c r="AB26" i="1"/>
  <c r="BH26" i="1" s="1"/>
  <c r="AB167" i="1"/>
  <c r="AB86" i="1" s="1"/>
  <c r="AB157" i="1"/>
  <c r="AB143" i="1"/>
  <c r="AB153" i="1"/>
  <c r="AB136" i="1"/>
  <c r="AB163" i="1"/>
  <c r="AB145" i="1"/>
  <c r="AB135" i="1"/>
  <c r="AB73" i="1" s="1"/>
  <c r="AB134" i="1"/>
  <c r="AB131" i="1"/>
  <c r="Z73" i="1"/>
  <c r="Z70" i="1"/>
  <c r="AD19" i="7"/>
  <c r="AB133" i="1"/>
  <c r="BH7" i="1"/>
  <c r="AB13" i="1"/>
  <c r="BH13" i="1" s="1"/>
  <c r="X14" i="1"/>
  <c r="BB14" i="1"/>
  <c r="V18" i="1"/>
  <c r="Z49" i="7"/>
  <c r="AB50" i="2"/>
  <c r="AD31" i="2"/>
  <c r="AD78" i="2" s="1"/>
  <c r="AD7" i="1"/>
  <c r="AB47" i="7"/>
  <c r="BH10" i="1"/>
  <c r="BH34" i="1"/>
  <c r="BH32" i="1"/>
  <c r="BH8" i="1"/>
  <c r="BH9" i="1"/>
  <c r="AB48" i="7"/>
  <c r="AB111" i="2"/>
  <c r="R8" i="4" s="1"/>
  <c r="Z185" i="1" l="1"/>
  <c r="P7" i="4" s="1"/>
  <c r="AD73" i="2"/>
  <c r="AD76" i="2"/>
  <c r="AX19" i="1"/>
  <c r="R20" i="1"/>
  <c r="R19" i="5"/>
  <c r="R21" i="1"/>
  <c r="H9" i="4" s="1"/>
  <c r="N7" i="4"/>
  <c r="P13" i="5"/>
  <c r="P20" i="1"/>
  <c r="P19" i="5"/>
  <c r="AB11" i="5"/>
  <c r="AD25" i="1"/>
  <c r="AB105" i="1"/>
  <c r="T19" i="1"/>
  <c r="AB84" i="1"/>
  <c r="X17" i="1"/>
  <c r="BD17" i="1" s="1"/>
  <c r="Z17" i="1"/>
  <c r="BF17" i="1" s="1"/>
  <c r="N31" i="1"/>
  <c r="N33" i="1" s="1"/>
  <c r="AB108" i="2"/>
  <c r="AB59" i="1" s="1"/>
  <c r="AB107" i="1"/>
  <c r="Z91" i="2"/>
  <c r="Z93" i="2"/>
  <c r="Z92" i="2"/>
  <c r="Z95" i="2"/>
  <c r="AB75" i="1"/>
  <c r="AB72" i="1"/>
  <c r="AB79" i="1"/>
  <c r="AB78" i="1"/>
  <c r="AB74" i="1"/>
  <c r="P21" i="1"/>
  <c r="AV19" i="1"/>
  <c r="AB70" i="1"/>
  <c r="V98" i="2"/>
  <c r="V139" i="1" s="1"/>
  <c r="V92" i="1" s="1"/>
  <c r="V97" i="1" s="1"/>
  <c r="X97" i="2"/>
  <c r="AB96" i="2"/>
  <c r="AB92" i="2" s="1"/>
  <c r="AB150" i="1"/>
  <c r="AB132" i="1"/>
  <c r="AB88" i="1"/>
  <c r="Z80" i="1"/>
  <c r="Z161" i="1"/>
  <c r="Z169" i="1" s="1"/>
  <c r="AB49" i="7"/>
  <c r="Z14" i="1"/>
  <c r="BD14" i="1"/>
  <c r="BB18" i="1"/>
  <c r="V19" i="1"/>
  <c r="AD50" i="2"/>
  <c r="AD10" i="1"/>
  <c r="AB185" i="1" l="1"/>
  <c r="R7" i="4" s="1"/>
  <c r="R22" i="1"/>
  <c r="R12" i="5"/>
  <c r="AB16" i="1"/>
  <c r="R6" i="4" s="1"/>
  <c r="T21" i="1"/>
  <c r="T19" i="5"/>
  <c r="T13" i="5"/>
  <c r="T20" i="1"/>
  <c r="AD11" i="1"/>
  <c r="AZ19" i="1"/>
  <c r="H13" i="4"/>
  <c r="V21" i="1"/>
  <c r="V19" i="5"/>
  <c r="V13" i="5"/>
  <c r="V20" i="1"/>
  <c r="F9" i="4"/>
  <c r="H10" i="4" s="1"/>
  <c r="P12" i="5"/>
  <c r="P22" i="1"/>
  <c r="X18" i="1"/>
  <c r="BD18" i="1" s="1"/>
  <c r="AT31" i="1"/>
  <c r="AD108" i="2"/>
  <c r="N45" i="1"/>
  <c r="N47" i="1" s="1"/>
  <c r="N41" i="1"/>
  <c r="N43" i="1" s="1"/>
  <c r="AB93" i="2"/>
  <c r="X98" i="2"/>
  <c r="X139" i="1" s="1"/>
  <c r="X92" i="1" s="1"/>
  <c r="X97" i="1" s="1"/>
  <c r="Z97" i="2"/>
  <c r="N35" i="1"/>
  <c r="AT33" i="1"/>
  <c r="AB94" i="2"/>
  <c r="AB91" i="2"/>
  <c r="AD168" i="1"/>
  <c r="AD87" i="1" s="1"/>
  <c r="AD157" i="1"/>
  <c r="AD153" i="1"/>
  <c r="AD143" i="1"/>
  <c r="AD26" i="1"/>
  <c r="BJ26" i="1" s="1"/>
  <c r="AD167" i="1"/>
  <c r="AD86" i="1" s="1"/>
  <c r="AD163" i="1"/>
  <c r="AD160" i="1"/>
  <c r="AD85" i="1" s="1"/>
  <c r="AD156" i="1"/>
  <c r="AD83" i="1" s="1"/>
  <c r="AD152" i="1"/>
  <c r="AD82" i="1" s="1"/>
  <c r="AD166" i="1"/>
  <c r="AD155" i="1"/>
  <c r="AD151" i="1"/>
  <c r="AD81" i="1" s="1"/>
  <c r="AD145" i="1"/>
  <c r="AD79" i="1" s="1"/>
  <c r="AD158" i="1"/>
  <c r="AD136" i="1"/>
  <c r="AD74" i="1" s="1"/>
  <c r="AD140" i="1"/>
  <c r="AD75" i="1" s="1"/>
  <c r="AD154" i="1"/>
  <c r="AD144" i="1"/>
  <c r="AD78" i="1" s="1"/>
  <c r="AD165" i="1"/>
  <c r="AD135" i="1"/>
  <c r="AD73" i="1" s="1"/>
  <c r="AD131" i="1"/>
  <c r="AD134" i="1"/>
  <c r="AB80" i="1"/>
  <c r="AB161" i="1"/>
  <c r="AB169" i="1" s="1"/>
  <c r="AD133" i="1"/>
  <c r="AB95" i="2"/>
  <c r="AB71" i="1"/>
  <c r="BJ7" i="1"/>
  <c r="AD13" i="1"/>
  <c r="AD11" i="5" s="1"/>
  <c r="AB14" i="1"/>
  <c r="BF14" i="1"/>
  <c r="Z18" i="1"/>
  <c r="BB19" i="1"/>
  <c r="AD47" i="7"/>
  <c r="BJ34" i="1"/>
  <c r="BJ10" i="1"/>
  <c r="BJ9" i="1"/>
  <c r="BJ8" i="1"/>
  <c r="BJ25" i="1"/>
  <c r="BJ32" i="1"/>
  <c r="AD48" i="7"/>
  <c r="AD111" i="2"/>
  <c r="T8" i="4" s="1"/>
  <c r="X19" i="1" l="1"/>
  <c r="X21" i="1" s="1"/>
  <c r="AB17" i="1"/>
  <c r="BH17" i="1" s="1"/>
  <c r="AD70" i="1"/>
  <c r="T22" i="1"/>
  <c r="T12" i="5"/>
  <c r="J4" i="4"/>
  <c r="J9" i="4" s="1"/>
  <c r="N7" i="5"/>
  <c r="N14" i="5"/>
  <c r="N6" i="5"/>
  <c r="N36" i="1"/>
  <c r="N8" i="5"/>
  <c r="F10" i="4"/>
  <c r="F13" i="4"/>
  <c r="V22" i="1"/>
  <c r="V12" i="5"/>
  <c r="L4" i="4"/>
  <c r="L9" i="4" s="1"/>
  <c r="AD105" i="1"/>
  <c r="AD107" i="1"/>
  <c r="AD84" i="1"/>
  <c r="AD72" i="1"/>
  <c r="AD49" i="7"/>
  <c r="AD59" i="1"/>
  <c r="AD16" i="1"/>
  <c r="T6" i="4" s="1"/>
  <c r="N177" i="1"/>
  <c r="N39" i="1"/>
  <c r="AD150" i="1"/>
  <c r="AD132" i="1"/>
  <c r="AD96" i="2"/>
  <c r="AD91" i="2" s="1"/>
  <c r="N56" i="1"/>
  <c r="AT35" i="1"/>
  <c r="AD88" i="1"/>
  <c r="Z98" i="2"/>
  <c r="Z139" i="1" s="1"/>
  <c r="Z92" i="1" s="1"/>
  <c r="Z97" i="1" s="1"/>
  <c r="AB97" i="2"/>
  <c r="AD14" i="1"/>
  <c r="BJ14" i="1" s="1"/>
  <c r="BJ13" i="1"/>
  <c r="BH14" i="1"/>
  <c r="Z19" i="1"/>
  <c r="BF18" i="1"/>
  <c r="AD71" i="1" l="1"/>
  <c r="AD185" i="1"/>
  <c r="T7" i="4" s="1"/>
  <c r="X19" i="5"/>
  <c r="AB18" i="1"/>
  <c r="AB19" i="1" s="1"/>
  <c r="BD19" i="1"/>
  <c r="X20" i="1"/>
  <c r="X13" i="5"/>
  <c r="L10" i="4"/>
  <c r="L13" i="4"/>
  <c r="N4" i="4"/>
  <c r="N9" i="4" s="1"/>
  <c r="X12" i="5"/>
  <c r="X22" i="1"/>
  <c r="Z21" i="1"/>
  <c r="Z19" i="5"/>
  <c r="Z20" i="1"/>
  <c r="Z13" i="5"/>
  <c r="J10" i="4"/>
  <c r="J13" i="4"/>
  <c r="AD17" i="1"/>
  <c r="BJ17" i="1" s="1"/>
  <c r="AD93" i="2"/>
  <c r="AD94" i="2"/>
  <c r="AD95" i="2"/>
  <c r="AD92" i="2"/>
  <c r="AB98" i="2"/>
  <c r="AB139" i="1" s="1"/>
  <c r="AB92" i="1" s="1"/>
  <c r="AB97" i="1" s="1"/>
  <c r="AD97" i="2"/>
  <c r="AD98" i="2" s="1"/>
  <c r="AD139" i="1" s="1"/>
  <c r="N179" i="1"/>
  <c r="AD80" i="1"/>
  <c r="AD161" i="1"/>
  <c r="BF19" i="1"/>
  <c r="BH18" i="1" l="1"/>
  <c r="AB21" i="1"/>
  <c r="AB19" i="5"/>
  <c r="AB13" i="5"/>
  <c r="AB20" i="1"/>
  <c r="N13" i="4"/>
  <c r="N10" i="4"/>
  <c r="P4" i="4"/>
  <c r="P9" i="4" s="1"/>
  <c r="Z22" i="1"/>
  <c r="Z12" i="5"/>
  <c r="N180" i="1"/>
  <c r="N17" i="5"/>
  <c r="N18" i="5"/>
  <c r="AD18" i="1"/>
  <c r="AD19" i="1" s="1"/>
  <c r="AD92" i="1"/>
  <c r="AD97" i="1" s="1"/>
  <c r="AD169" i="1"/>
  <c r="BH19" i="1"/>
  <c r="AD21" i="1" l="1"/>
  <c r="AD19" i="5"/>
  <c r="AD13" i="5"/>
  <c r="AD20" i="1"/>
  <c r="AB22" i="1"/>
  <c r="R4" i="4"/>
  <c r="R9" i="4" s="1"/>
  <c r="AB12" i="5"/>
  <c r="P10" i="4"/>
  <c r="P13" i="4"/>
  <c r="BJ18" i="1"/>
  <c r="BJ19" i="1"/>
  <c r="R10" i="4" l="1"/>
  <c r="R13" i="4"/>
  <c r="AD12" i="5"/>
  <c r="T4" i="4"/>
  <c r="T9" i="4" s="1"/>
  <c r="AD22" i="1"/>
  <c r="N140" i="1"/>
  <c r="T10" i="4" l="1"/>
  <c r="T13" i="4"/>
  <c r="V9" i="4"/>
  <c r="V13" i="4" s="1"/>
  <c r="P75" i="1"/>
  <c r="N75" i="1"/>
  <c r="N89" i="1" s="1"/>
  <c r="N115" i="1" s="1"/>
  <c r="N117" i="1" s="1"/>
  <c r="D14" i="4" l="1"/>
  <c r="J24" i="4" s="1"/>
  <c r="N130" i="1"/>
  <c r="N23" i="5" s="1"/>
  <c r="P116" i="1"/>
  <c r="D17" i="4" l="1"/>
  <c r="D19" i="4" s="1"/>
  <c r="Z21" i="4" s="1"/>
  <c r="W14" i="4"/>
  <c r="P24" i="1"/>
  <c r="N137" i="1"/>
  <c r="N22" i="5" s="1"/>
  <c r="D22" i="4" l="1"/>
  <c r="D24" i="4"/>
  <c r="AV24" i="1"/>
  <c r="P27" i="1"/>
  <c r="N146" i="1"/>
  <c r="N181" i="1" l="1"/>
  <c r="N24" i="5"/>
  <c r="AT157" i="1"/>
  <c r="AT168" i="1"/>
  <c r="AT133" i="1"/>
  <c r="AT146" i="1"/>
  <c r="AT179" i="1"/>
  <c r="AT180" i="1"/>
  <c r="AT131" i="1"/>
  <c r="AT159" i="1"/>
  <c r="AT173" i="1"/>
  <c r="AT141" i="1"/>
  <c r="AT158" i="1"/>
  <c r="AT161" i="1"/>
  <c r="AT165" i="1"/>
  <c r="AT143" i="1"/>
  <c r="AT178" i="1"/>
  <c r="AT136" i="1"/>
  <c r="AT160" i="1"/>
  <c r="AT177" i="1"/>
  <c r="AT166" i="1"/>
  <c r="AT155" i="1"/>
  <c r="AT144" i="1"/>
  <c r="AT135" i="1"/>
  <c r="AT172" i="1"/>
  <c r="AT150" i="1"/>
  <c r="AT139" i="1"/>
  <c r="AT169" i="1"/>
  <c r="AT151" i="1"/>
  <c r="AT176" i="1"/>
  <c r="AT154" i="1"/>
  <c r="AT134" i="1"/>
  <c r="AT156" i="1"/>
  <c r="AT140" i="1"/>
  <c r="AT167" i="1"/>
  <c r="AT145" i="1"/>
  <c r="AT175" i="1"/>
  <c r="AT163" i="1"/>
  <c r="AT153" i="1"/>
  <c r="AT142" i="1"/>
  <c r="AT174" i="1"/>
  <c r="AT152" i="1"/>
  <c r="AT132" i="1"/>
  <c r="AT164" i="1"/>
  <c r="AT130" i="1"/>
  <c r="AT137" i="1"/>
  <c r="P29" i="1"/>
  <c r="AV27" i="1"/>
  <c r="AV29" i="1" l="1"/>
  <c r="P30" i="1"/>
  <c r="AV30" i="1" s="1"/>
  <c r="P31" i="1" l="1"/>
  <c r="AV31" i="1" l="1"/>
  <c r="P33" i="1"/>
  <c r="P41" i="1" l="1"/>
  <c r="P43" i="1" s="1"/>
  <c r="P35" i="1"/>
  <c r="P183" i="1" s="1"/>
  <c r="P109" i="1" s="1"/>
  <c r="P111" i="1" s="1"/>
  <c r="AV33" i="1"/>
  <c r="P45" i="1"/>
  <c r="P47" i="1" s="1"/>
  <c r="D25" i="4" s="1"/>
  <c r="P14" i="5" l="1"/>
  <c r="P7" i="5"/>
  <c r="P36" i="1"/>
  <c r="P6" i="5"/>
  <c r="P8" i="5"/>
  <c r="P39" i="1"/>
  <c r="P177" i="1"/>
  <c r="P56" i="1"/>
  <c r="AV35" i="1"/>
  <c r="P89" i="1" l="1"/>
  <c r="P115" i="1" s="1"/>
  <c r="P117" i="1" s="1"/>
  <c r="P179" i="1"/>
  <c r="P18" i="5" l="1"/>
  <c r="P17" i="5"/>
  <c r="R116" i="1"/>
  <c r="P130" i="1"/>
  <c r="P180" i="1"/>
  <c r="P137" i="1" l="1"/>
  <c r="P22" i="5" s="1"/>
  <c r="P23" i="5"/>
  <c r="R24" i="1"/>
  <c r="R27" i="1" s="1"/>
  <c r="P146" i="1" l="1"/>
  <c r="AX24" i="1"/>
  <c r="AX27" i="1"/>
  <c r="R29" i="1"/>
  <c r="AV137" i="1" l="1"/>
  <c r="P129" i="1"/>
  <c r="AV173" i="1"/>
  <c r="AV166" i="1"/>
  <c r="AV140" i="1"/>
  <c r="AV136" i="1"/>
  <c r="AV157" i="1"/>
  <c r="AV145" i="1"/>
  <c r="AV153" i="1"/>
  <c r="AV163" i="1"/>
  <c r="AV152" i="1"/>
  <c r="AV155" i="1"/>
  <c r="AV150" i="1"/>
  <c r="AV134" i="1"/>
  <c r="AV160" i="1"/>
  <c r="AV174" i="1"/>
  <c r="AV141" i="1"/>
  <c r="P181" i="1"/>
  <c r="AV179" i="1"/>
  <c r="AV142" i="1"/>
  <c r="AV135" i="1"/>
  <c r="AV178" i="1"/>
  <c r="AV158" i="1"/>
  <c r="AV164" i="1"/>
  <c r="AV177" i="1"/>
  <c r="AV169" i="1"/>
  <c r="AV131" i="1"/>
  <c r="AV175" i="1"/>
  <c r="AV151" i="1"/>
  <c r="AV165" i="1"/>
  <c r="AV167" i="1"/>
  <c r="AV146" i="1"/>
  <c r="AV156" i="1"/>
  <c r="AV159" i="1"/>
  <c r="AV180" i="1"/>
  <c r="P24" i="5"/>
  <c r="AV130" i="1"/>
  <c r="AV154" i="1"/>
  <c r="AV176" i="1"/>
  <c r="AV143" i="1"/>
  <c r="AV133" i="1"/>
  <c r="AV168" i="1"/>
  <c r="AV139" i="1"/>
  <c r="AV144" i="1"/>
  <c r="AV161" i="1"/>
  <c r="AV132" i="1"/>
  <c r="AV172" i="1"/>
  <c r="AX29" i="1"/>
  <c r="R30" i="1"/>
  <c r="AX30" i="1" s="1"/>
  <c r="R31" i="1" l="1"/>
  <c r="R33" i="1" l="1"/>
  <c r="AX31" i="1"/>
  <c r="R41" i="1" l="1"/>
  <c r="R43" i="1" s="1"/>
  <c r="AX33" i="1"/>
  <c r="R35" i="1"/>
  <c r="R183" i="1" s="1"/>
  <c r="R109" i="1" s="1"/>
  <c r="R111" i="1" s="1"/>
  <c r="R45" i="1"/>
  <c r="R47" i="1" s="1"/>
  <c r="R14" i="5" l="1"/>
  <c r="R8" i="5"/>
  <c r="R7" i="5"/>
  <c r="R6" i="5"/>
  <c r="R36" i="1"/>
  <c r="R39" i="1"/>
  <c r="R56" i="1"/>
  <c r="R89" i="1" s="1"/>
  <c r="R115" i="1" s="1"/>
  <c r="R117" i="1" s="1"/>
  <c r="AX35" i="1"/>
  <c r="R177" i="1"/>
  <c r="R179" i="1" l="1"/>
  <c r="T116" i="1"/>
  <c r="R130" i="1"/>
  <c r="R23" i="5" l="1"/>
  <c r="R18" i="5"/>
  <c r="R17" i="5"/>
  <c r="T24" i="1"/>
  <c r="R137" i="1"/>
  <c r="R180" i="1"/>
  <c r="R146" i="1" l="1"/>
  <c r="R22" i="5"/>
  <c r="T27" i="1"/>
  <c r="AZ24" i="1"/>
  <c r="AX180" i="1" l="1"/>
  <c r="R129" i="1"/>
  <c r="AX132" i="1"/>
  <c r="AX151" i="1"/>
  <c r="AX145" i="1"/>
  <c r="AX156" i="1"/>
  <c r="AX165" i="1"/>
  <c r="AX154" i="1"/>
  <c r="AX177" i="1"/>
  <c r="AX142" i="1"/>
  <c r="AX134" i="1"/>
  <c r="AX176" i="1"/>
  <c r="AX143" i="1"/>
  <c r="AX139" i="1"/>
  <c r="AX167" i="1"/>
  <c r="AX152" i="1"/>
  <c r="AX169" i="1"/>
  <c r="AX153" i="1"/>
  <c r="AX168" i="1"/>
  <c r="AX131" i="1"/>
  <c r="AX158" i="1"/>
  <c r="AX137" i="1"/>
  <c r="AX157" i="1"/>
  <c r="AX146" i="1"/>
  <c r="AX178" i="1"/>
  <c r="AX133" i="1"/>
  <c r="AX140" i="1"/>
  <c r="AX144" i="1"/>
  <c r="AX174" i="1"/>
  <c r="AX160" i="1"/>
  <c r="AX164" i="1"/>
  <c r="AX166" i="1"/>
  <c r="AX179" i="1"/>
  <c r="AX172" i="1"/>
  <c r="R181" i="1"/>
  <c r="AX173" i="1"/>
  <c r="AX141" i="1"/>
  <c r="AX175" i="1"/>
  <c r="AX136" i="1"/>
  <c r="AX150" i="1"/>
  <c r="AX159" i="1"/>
  <c r="AX155" i="1"/>
  <c r="AX135" i="1"/>
  <c r="AX161" i="1"/>
  <c r="AX163" i="1"/>
  <c r="AX130" i="1"/>
  <c r="R24" i="5"/>
  <c r="AZ27" i="1"/>
  <c r="T29" i="1"/>
  <c r="T30" i="1" l="1"/>
  <c r="AZ30" i="1" s="1"/>
  <c r="AZ29" i="1"/>
  <c r="T31" i="1" l="1"/>
  <c r="AZ31" i="1" l="1"/>
  <c r="T33" i="1"/>
  <c r="T35" i="1" l="1"/>
  <c r="T183" i="1" s="1"/>
  <c r="T109" i="1" s="1"/>
  <c r="T111" i="1" s="1"/>
  <c r="T41" i="1"/>
  <c r="T43" i="1" s="1"/>
  <c r="T45" i="1"/>
  <c r="T47" i="1" s="1"/>
  <c r="AZ33" i="1"/>
  <c r="T14" i="5" l="1"/>
  <c r="T8" i="5"/>
  <c r="T6" i="5"/>
  <c r="T7" i="5"/>
  <c r="T36" i="1"/>
  <c r="T39" i="1"/>
  <c r="T56" i="1"/>
  <c r="T89" i="1" s="1"/>
  <c r="T115" i="1" s="1"/>
  <c r="T117" i="1" s="1"/>
  <c r="AZ35" i="1"/>
  <c r="T177" i="1"/>
  <c r="V116" i="1" l="1"/>
  <c r="T130" i="1"/>
  <c r="T179" i="1"/>
  <c r="T23" i="5" l="1"/>
  <c r="T18" i="5"/>
  <c r="T17" i="5"/>
  <c r="T180" i="1"/>
  <c r="V24" i="1"/>
  <c r="T137" i="1"/>
  <c r="T22" i="5" s="1"/>
  <c r="T146" i="1" l="1"/>
  <c r="T129" i="1" s="1"/>
  <c r="BB24" i="1"/>
  <c r="V27" i="1"/>
  <c r="T181" i="1" l="1"/>
  <c r="T24" i="5"/>
  <c r="AZ159" i="1"/>
  <c r="AZ178" i="1"/>
  <c r="AZ167" i="1"/>
  <c r="AZ166" i="1"/>
  <c r="AZ141" i="1"/>
  <c r="AZ176" i="1"/>
  <c r="AZ146" i="1"/>
  <c r="AZ174" i="1"/>
  <c r="AZ156" i="1"/>
  <c r="AZ144" i="1"/>
  <c r="AZ134" i="1"/>
  <c r="AZ163" i="1"/>
  <c r="AZ145" i="1"/>
  <c r="AZ173" i="1"/>
  <c r="AZ136" i="1"/>
  <c r="AZ155" i="1"/>
  <c r="AZ151" i="1"/>
  <c r="AZ160" i="1"/>
  <c r="AZ157" i="1"/>
  <c r="AZ143" i="1"/>
  <c r="AZ133" i="1"/>
  <c r="AZ169" i="1"/>
  <c r="AZ164" i="1"/>
  <c r="AZ175" i="1"/>
  <c r="AZ150" i="1"/>
  <c r="AZ132" i="1"/>
  <c r="AZ131" i="1"/>
  <c r="AZ172" i="1"/>
  <c r="AZ139" i="1"/>
  <c r="AZ153" i="1"/>
  <c r="AZ154" i="1"/>
  <c r="AZ158" i="1"/>
  <c r="AZ165" i="1"/>
  <c r="AZ135" i="1"/>
  <c r="AZ152" i="1"/>
  <c r="AZ168" i="1"/>
  <c r="AZ142" i="1"/>
  <c r="AZ140" i="1"/>
  <c r="AZ161" i="1"/>
  <c r="AZ177" i="1"/>
  <c r="AZ179" i="1"/>
  <c r="AZ130" i="1"/>
  <c r="AZ180" i="1"/>
  <c r="V29" i="1"/>
  <c r="BB27" i="1"/>
  <c r="AZ137" i="1"/>
  <c r="V30" i="1" l="1"/>
  <c r="BB30" i="1" s="1"/>
  <c r="BB29" i="1"/>
  <c r="V31" i="1" l="1"/>
  <c r="V33" i="1" l="1"/>
  <c r="BB31" i="1"/>
  <c r="V45" i="1" l="1"/>
  <c r="V47" i="1" s="1"/>
  <c r="V41" i="1"/>
  <c r="V43" i="1" s="1"/>
  <c r="V35" i="1"/>
  <c r="V183" i="1" s="1"/>
  <c r="V109" i="1" s="1"/>
  <c r="V111" i="1" s="1"/>
  <c r="BB33" i="1"/>
  <c r="V14" i="5" l="1"/>
  <c r="V6" i="5"/>
  <c r="V36" i="1"/>
  <c r="V8" i="5"/>
  <c r="V7" i="5"/>
  <c r="V39" i="1"/>
  <c r="V56" i="1"/>
  <c r="V89" i="1" s="1"/>
  <c r="V115" i="1" s="1"/>
  <c r="V117" i="1" s="1"/>
  <c r="V177" i="1"/>
  <c r="BB35" i="1"/>
  <c r="V179" i="1" l="1"/>
  <c r="V130" i="1"/>
  <c r="X116" i="1"/>
  <c r="V23" i="5" l="1"/>
  <c r="V18" i="5"/>
  <c r="V17" i="5"/>
  <c r="V180" i="1"/>
  <c r="X24" i="1"/>
  <c r="V137" i="1"/>
  <c r="V22" i="5" s="1"/>
  <c r="V146" i="1" l="1"/>
  <c r="V129" i="1" s="1"/>
  <c r="X27" i="1"/>
  <c r="BD24" i="1"/>
  <c r="BB180" i="1" l="1"/>
  <c r="V24" i="5"/>
  <c r="V181" i="1"/>
  <c r="BB137" i="1"/>
  <c r="X29" i="1"/>
  <c r="BD27" i="1"/>
  <c r="BB155" i="1"/>
  <c r="BB141" i="1"/>
  <c r="BB143" i="1"/>
  <c r="BB156" i="1"/>
  <c r="BB150" i="1"/>
  <c r="BB166" i="1"/>
  <c r="BB173" i="1"/>
  <c r="BB134" i="1"/>
  <c r="BB152" i="1"/>
  <c r="BB146" i="1"/>
  <c r="BB132" i="1"/>
  <c r="BB161" i="1"/>
  <c r="BB169" i="1"/>
  <c r="BB163" i="1"/>
  <c r="BB178" i="1"/>
  <c r="BB144" i="1"/>
  <c r="BB168" i="1"/>
  <c r="BB159" i="1"/>
  <c r="BB172" i="1"/>
  <c r="BB131" i="1"/>
  <c r="BB175" i="1"/>
  <c r="BB142" i="1"/>
  <c r="BB135" i="1"/>
  <c r="BB157" i="1"/>
  <c r="BB174" i="1"/>
  <c r="BB140" i="1"/>
  <c r="BB151" i="1"/>
  <c r="BB153" i="1"/>
  <c r="BB164" i="1"/>
  <c r="BB139" i="1"/>
  <c r="BB154" i="1"/>
  <c r="BB145" i="1"/>
  <c r="BB158" i="1"/>
  <c r="BB136" i="1"/>
  <c r="BB165" i="1"/>
  <c r="BB133" i="1"/>
  <c r="BB160" i="1"/>
  <c r="BB176" i="1"/>
  <c r="BB167" i="1"/>
  <c r="BB177" i="1"/>
  <c r="BB179" i="1"/>
  <c r="BB130" i="1"/>
  <c r="BD29" i="1" l="1"/>
  <c r="X30" i="1"/>
  <c r="BD30" i="1" s="1"/>
  <c r="X31" i="1" l="1"/>
  <c r="BD31" i="1" l="1"/>
  <c r="X33" i="1"/>
  <c r="BD33" i="1" l="1"/>
  <c r="X41" i="1"/>
  <c r="X43" i="1" s="1"/>
  <c r="X35" i="1"/>
  <c r="X183" i="1" s="1"/>
  <c r="X109" i="1" s="1"/>
  <c r="X111" i="1" s="1"/>
  <c r="X45" i="1"/>
  <c r="X47" i="1" s="1"/>
  <c r="X14" i="5" l="1"/>
  <c r="X7" i="5"/>
  <c r="X36" i="1"/>
  <c r="X6" i="5"/>
  <c r="X8" i="5"/>
  <c r="X39" i="1"/>
  <c r="X56" i="1"/>
  <c r="X89" i="1" s="1"/>
  <c r="X115" i="1" s="1"/>
  <c r="X117" i="1" s="1"/>
  <c r="BD35" i="1"/>
  <c r="X177" i="1"/>
  <c r="Z116" i="1" l="1"/>
  <c r="X130" i="1"/>
  <c r="X179" i="1"/>
  <c r="X23" i="5" l="1"/>
  <c r="X17" i="5"/>
  <c r="X18" i="5"/>
  <c r="X180" i="1"/>
  <c r="Z24" i="1"/>
  <c r="X137" i="1"/>
  <c r="X22" i="5" s="1"/>
  <c r="X146" i="1" l="1"/>
  <c r="X129" i="1" s="1"/>
  <c r="Z27" i="1"/>
  <c r="BF24" i="1"/>
  <c r="BD137" i="1" l="1"/>
  <c r="X24" i="5"/>
  <c r="X181" i="1"/>
  <c r="Z29" i="1"/>
  <c r="BF27" i="1"/>
  <c r="BD180" i="1"/>
  <c r="BD143" i="1"/>
  <c r="BD173" i="1"/>
  <c r="BD164" i="1"/>
  <c r="BD144" i="1"/>
  <c r="BD163" i="1"/>
  <c r="BD175" i="1"/>
  <c r="BD136" i="1"/>
  <c r="BD154" i="1"/>
  <c r="BD131" i="1"/>
  <c r="BD169" i="1"/>
  <c r="BD140" i="1"/>
  <c r="BD146" i="1"/>
  <c r="BD155" i="1"/>
  <c r="BD139" i="1"/>
  <c r="BD172" i="1"/>
  <c r="BD176" i="1"/>
  <c r="BD160" i="1"/>
  <c r="BD134" i="1"/>
  <c r="BD178" i="1"/>
  <c r="BD145" i="1"/>
  <c r="BD158" i="1"/>
  <c r="BD161" i="1"/>
  <c r="BD165" i="1"/>
  <c r="BD142" i="1"/>
  <c r="BD135" i="1"/>
  <c r="BD166" i="1"/>
  <c r="BD133" i="1"/>
  <c r="BD132" i="1"/>
  <c r="BD159" i="1"/>
  <c r="BD153" i="1"/>
  <c r="BD151" i="1"/>
  <c r="BD150" i="1"/>
  <c r="BD167" i="1"/>
  <c r="BD156" i="1"/>
  <c r="BD157" i="1"/>
  <c r="BD174" i="1"/>
  <c r="BD168" i="1"/>
  <c r="BD152" i="1"/>
  <c r="BD141" i="1"/>
  <c r="BD177" i="1"/>
  <c r="BD179" i="1"/>
  <c r="BD130" i="1"/>
  <c r="Z30" i="1" l="1"/>
  <c r="BF30" i="1" s="1"/>
  <c r="BF29" i="1"/>
  <c r="Z31" i="1" l="1"/>
  <c r="Z33" i="1" l="1"/>
  <c r="BF31" i="1"/>
  <c r="BF33" i="1" l="1"/>
  <c r="Z45" i="1"/>
  <c r="Z47" i="1" s="1"/>
  <c r="Z41" i="1"/>
  <c r="Z43" i="1" s="1"/>
  <c r="Z35" i="1"/>
  <c r="Z183" i="1" s="1"/>
  <c r="Z109" i="1" s="1"/>
  <c r="Z111" i="1" s="1"/>
  <c r="Z14" i="5" l="1"/>
  <c r="Z8" i="5"/>
  <c r="Z7" i="5"/>
  <c r="Z36" i="1"/>
  <c r="Z6" i="5"/>
  <c r="Z39" i="1"/>
  <c r="Z56" i="1"/>
  <c r="Z89" i="1" s="1"/>
  <c r="Z115" i="1" s="1"/>
  <c r="Z117" i="1" s="1"/>
  <c r="BF35" i="1"/>
  <c r="Z177" i="1"/>
  <c r="Z179" i="1" l="1"/>
  <c r="Z130" i="1"/>
  <c r="AB116" i="1"/>
  <c r="Z23" i="5" l="1"/>
  <c r="Z18" i="5"/>
  <c r="Z17" i="5"/>
  <c r="Z180" i="1"/>
  <c r="AB24" i="1"/>
  <c r="Z137" i="1"/>
  <c r="Z146" i="1" l="1"/>
  <c r="Z22" i="5"/>
  <c r="BH24" i="1"/>
  <c r="AB27" i="1"/>
  <c r="Z24" i="5" l="1"/>
  <c r="Z129" i="1"/>
  <c r="BF130" i="1"/>
  <c r="BF131" i="1"/>
  <c r="BF161" i="1"/>
  <c r="BF157" i="1"/>
  <c r="BF140" i="1"/>
  <c r="BF165" i="1"/>
  <c r="Z181" i="1"/>
  <c r="BF172" i="1"/>
  <c r="BF153" i="1"/>
  <c r="BF168" i="1"/>
  <c r="BF158" i="1"/>
  <c r="BF155" i="1"/>
  <c r="BF133" i="1"/>
  <c r="BF143" i="1"/>
  <c r="BF176" i="1"/>
  <c r="BF164" i="1"/>
  <c r="BF180" i="1"/>
  <c r="BF177" i="1"/>
  <c r="BF169" i="1"/>
  <c r="BF156" i="1"/>
  <c r="BF144" i="1"/>
  <c r="BF136" i="1"/>
  <c r="BF146" i="1"/>
  <c r="BF152" i="1"/>
  <c r="BF151" i="1"/>
  <c r="BF142" i="1"/>
  <c r="BF174" i="1"/>
  <c r="BF160" i="1"/>
  <c r="BF145" i="1"/>
  <c r="BF179" i="1"/>
  <c r="BF132" i="1"/>
  <c r="BF154" i="1"/>
  <c r="BF163" i="1"/>
  <c r="BF166" i="1"/>
  <c r="BF134" i="1"/>
  <c r="BF173" i="1"/>
  <c r="BF159" i="1"/>
  <c r="BF175" i="1"/>
  <c r="BF167" i="1"/>
  <c r="BF178" i="1"/>
  <c r="BF141" i="1"/>
  <c r="BF135" i="1"/>
  <c r="BF139" i="1"/>
  <c r="BF150" i="1"/>
  <c r="BF137" i="1"/>
  <c r="AB29" i="1"/>
  <c r="BH27" i="1"/>
  <c r="AB30" i="1" l="1"/>
  <c r="BH30" i="1" s="1"/>
  <c r="BH29" i="1"/>
  <c r="AB31" i="1" l="1"/>
  <c r="AB33" i="1" l="1"/>
  <c r="BH31" i="1"/>
  <c r="AB45" i="1" l="1"/>
  <c r="AB47" i="1" s="1"/>
  <c r="AB41" i="1"/>
  <c r="AB43" i="1" s="1"/>
  <c r="AB35" i="1"/>
  <c r="AB183" i="1" s="1"/>
  <c r="AB109" i="1" s="1"/>
  <c r="AB111" i="1" s="1"/>
  <c r="BH33" i="1"/>
  <c r="AB6" i="5" l="1"/>
  <c r="AB14" i="5"/>
  <c r="AB8" i="5"/>
  <c r="AB7" i="5"/>
  <c r="AB36" i="1"/>
  <c r="AB39" i="1"/>
  <c r="AB56" i="1"/>
  <c r="AB89" i="1" s="1"/>
  <c r="AB115" i="1" s="1"/>
  <c r="AB117" i="1" s="1"/>
  <c r="BH35" i="1"/>
  <c r="AB177" i="1"/>
  <c r="AB179" i="1" l="1"/>
  <c r="AB130" i="1"/>
  <c r="AD116" i="1"/>
  <c r="AB23" i="5" l="1"/>
  <c r="AB17" i="5"/>
  <c r="AB18" i="5"/>
  <c r="AD24" i="1"/>
  <c r="AB137" i="1"/>
  <c r="AB22" i="5" s="1"/>
  <c r="AB180" i="1"/>
  <c r="AD27" i="1" l="1"/>
  <c r="BJ24" i="1"/>
  <c r="AB146" i="1"/>
  <c r="AB24" i="5" l="1"/>
  <c r="AB129" i="1"/>
  <c r="AD29" i="1"/>
  <c r="BJ27" i="1"/>
  <c r="BH156" i="1"/>
  <c r="BH146" i="1"/>
  <c r="BH161" i="1"/>
  <c r="BH134" i="1"/>
  <c r="BH157" i="1"/>
  <c r="BH178" i="1"/>
  <c r="BH151" i="1"/>
  <c r="BH140" i="1"/>
  <c r="BH166" i="1"/>
  <c r="BH169" i="1"/>
  <c r="BH159" i="1"/>
  <c r="BH165" i="1"/>
  <c r="BH173" i="1"/>
  <c r="BH154" i="1"/>
  <c r="BH136" i="1"/>
  <c r="BH131" i="1"/>
  <c r="BH160" i="1"/>
  <c r="BH168" i="1"/>
  <c r="BH155" i="1"/>
  <c r="BH135" i="1"/>
  <c r="BH141" i="1"/>
  <c r="BH167" i="1"/>
  <c r="BH163" i="1"/>
  <c r="BH142" i="1"/>
  <c r="BH174" i="1"/>
  <c r="BH132" i="1"/>
  <c r="BH164" i="1"/>
  <c r="BH145" i="1"/>
  <c r="BH176" i="1"/>
  <c r="BH139" i="1"/>
  <c r="BH153" i="1"/>
  <c r="BH144" i="1"/>
  <c r="BH133" i="1"/>
  <c r="BH172" i="1"/>
  <c r="BH152" i="1"/>
  <c r="BH143" i="1"/>
  <c r="BH158" i="1"/>
  <c r="BH150" i="1"/>
  <c r="BH175" i="1"/>
  <c r="BH177" i="1"/>
  <c r="BH179" i="1"/>
  <c r="BH130" i="1"/>
  <c r="BH180" i="1"/>
  <c r="BH137" i="1"/>
  <c r="AB181" i="1"/>
  <c r="BJ29" i="1" l="1"/>
  <c r="AD30" i="1"/>
  <c r="BJ30" i="1" s="1"/>
  <c r="AD31" i="1" l="1"/>
  <c r="AD33" i="1" s="1"/>
  <c r="BJ31" i="1" l="1"/>
  <c r="BJ33" i="1"/>
  <c r="AD45" i="1"/>
  <c r="AD47" i="1" s="1"/>
  <c r="AD41" i="1"/>
  <c r="AD43" i="1" s="1"/>
  <c r="AD35" i="1"/>
  <c r="AD183" i="1" s="1"/>
  <c r="AD109" i="1" s="1"/>
  <c r="AD111" i="1" s="1"/>
  <c r="AD14" i="5" l="1"/>
  <c r="AD6" i="5"/>
  <c r="AD36" i="1"/>
  <c r="AD8" i="5"/>
  <c r="AD7" i="5"/>
  <c r="AD39" i="1"/>
  <c r="AD177" i="1"/>
  <c r="AD56" i="1"/>
  <c r="AD89" i="1" s="1"/>
  <c r="AD115" i="1" s="1"/>
  <c r="AD117" i="1" s="1"/>
  <c r="AD130" i="1" s="1"/>
  <c r="BJ35" i="1"/>
  <c r="AD23" i="5" l="1"/>
  <c r="AD137" i="1"/>
  <c r="AD22" i="5" s="1"/>
  <c r="AD179" i="1"/>
  <c r="AD180" i="1" l="1"/>
  <c r="AD17" i="5"/>
  <c r="AD18" i="5"/>
  <c r="AD146" i="1"/>
  <c r="AD129" i="1" s="1"/>
  <c r="AD181" i="1" l="1"/>
  <c r="AD24" i="5"/>
  <c r="BJ179" i="1"/>
  <c r="BJ159" i="1"/>
  <c r="BJ141" i="1"/>
  <c r="BJ168" i="1"/>
  <c r="BJ175" i="1"/>
  <c r="BJ133" i="1"/>
  <c r="BJ136" i="1"/>
  <c r="BJ166" i="1"/>
  <c r="BJ157" i="1"/>
  <c r="BJ167" i="1"/>
  <c r="BJ169" i="1"/>
  <c r="BJ151" i="1"/>
  <c r="BJ160" i="1"/>
  <c r="BJ140" i="1"/>
  <c r="BJ131" i="1"/>
  <c r="BJ153" i="1"/>
  <c r="BJ142" i="1"/>
  <c r="BJ154" i="1"/>
  <c r="BJ163" i="1"/>
  <c r="BJ164" i="1"/>
  <c r="BJ165" i="1"/>
  <c r="BJ145" i="1"/>
  <c r="BJ144" i="1"/>
  <c r="BJ176" i="1"/>
  <c r="BJ158" i="1"/>
  <c r="BJ132" i="1"/>
  <c r="BJ155" i="1"/>
  <c r="BJ161" i="1"/>
  <c r="BJ150" i="1"/>
  <c r="BJ146" i="1"/>
  <c r="BJ172" i="1"/>
  <c r="BJ143" i="1"/>
  <c r="BJ173" i="1"/>
  <c r="BJ135" i="1"/>
  <c r="BJ174" i="1"/>
  <c r="BJ134" i="1"/>
  <c r="BJ178" i="1"/>
  <c r="BJ139" i="1"/>
  <c r="BJ156" i="1"/>
  <c r="BJ152" i="1"/>
  <c r="BJ130" i="1"/>
  <c r="BJ177" i="1"/>
  <c r="BJ137" i="1"/>
  <c r="BJ180" i="1"/>
</calcChain>
</file>

<file path=xl/sharedStrings.xml><?xml version="1.0" encoding="utf-8"?>
<sst xmlns="http://schemas.openxmlformats.org/spreadsheetml/2006/main" count="1014" uniqueCount="435">
  <si>
    <t>2017F</t>
  </si>
  <si>
    <t>Revenues</t>
  </si>
  <si>
    <t>Product Sales</t>
  </si>
  <si>
    <t>Contract Manufacturing</t>
  </si>
  <si>
    <t>Contracts and Grants</t>
  </si>
  <si>
    <t>Total Revenues</t>
  </si>
  <si>
    <t>2018F</t>
  </si>
  <si>
    <t>2019F</t>
  </si>
  <si>
    <t>2020F</t>
  </si>
  <si>
    <t>2021F</t>
  </si>
  <si>
    <t>2022F</t>
  </si>
  <si>
    <t>2023F</t>
  </si>
  <si>
    <t>2024F</t>
  </si>
  <si>
    <t>2025F</t>
  </si>
  <si>
    <t>Operating Expenses</t>
  </si>
  <si>
    <t>Cost of Product Sales and Contract Manufacturing</t>
  </si>
  <si>
    <t>Research and Development</t>
  </si>
  <si>
    <t>Selling, General &amp; Administrative</t>
  </si>
  <si>
    <t>Total Operating Expenses</t>
  </si>
  <si>
    <t>Income from Operations</t>
  </si>
  <si>
    <t>Other Income (Expense)</t>
  </si>
  <si>
    <t>Interest Income</t>
  </si>
  <si>
    <t>Interest Expense</t>
  </si>
  <si>
    <t>Other Income (Expense), Net</t>
  </si>
  <si>
    <t>Total Other Income (Expense)</t>
  </si>
  <si>
    <t>Income from Continuing Operations Before Taxes</t>
  </si>
  <si>
    <t>Taxes</t>
  </si>
  <si>
    <t>Net Income from Continuing Operations</t>
  </si>
  <si>
    <t>Net Loss Attributable to Noncontrolling Interest</t>
  </si>
  <si>
    <t>Net Income Attributable to Emergent BioSolutions</t>
  </si>
  <si>
    <t>Net Loss from Discontinued Operations</t>
  </si>
  <si>
    <t>Net Income</t>
  </si>
  <si>
    <t>EPS- Basic</t>
  </si>
  <si>
    <t>EPS from Continuing Operations- Basic</t>
  </si>
  <si>
    <t>EPS from Discontinued Operations- Basic</t>
  </si>
  <si>
    <t>EPS from Continuing Operations- Diluted</t>
  </si>
  <si>
    <t>EPS from Discontinued Operations- Diluted</t>
  </si>
  <si>
    <t>EPS- Diluted</t>
  </si>
  <si>
    <t>Weighted Average Number of Shares- Basic</t>
  </si>
  <si>
    <t>Weighted Average Number of Shares- Diluted</t>
  </si>
  <si>
    <t>Other Comprehensive Income</t>
  </si>
  <si>
    <t>Foreign Currency Translation, Net of Tax</t>
  </si>
  <si>
    <t>Comprehensive Income</t>
  </si>
  <si>
    <t>Cash Flows from Operation</t>
  </si>
  <si>
    <t>Adjustments to Reconcile to Net Cash Provided by (Used in) Operation:</t>
  </si>
  <si>
    <t>Stock-based Compensation Expense</t>
  </si>
  <si>
    <t>Depreciation and Amortization</t>
  </si>
  <si>
    <t>Income Taxes</t>
  </si>
  <si>
    <t>Change in Fair Value of Contingent Obligations</t>
  </si>
  <si>
    <t>Write Off of Debt Issuance Costs</t>
  </si>
  <si>
    <t>Impairment of Intangible Assets (Including IPR&amp;D)</t>
  </si>
  <si>
    <t>Impairment and Abandonment of Long Lived Assets</t>
  </si>
  <si>
    <t>Bad Debt Expense</t>
  </si>
  <si>
    <t>Excess Tax Benefits from Stock-based Compensation</t>
  </si>
  <si>
    <t>Other</t>
  </si>
  <si>
    <t>Changes in Operating Assets and Liabilities:</t>
  </si>
  <si>
    <t>Account Receivable</t>
  </si>
  <si>
    <t>Inventories</t>
  </si>
  <si>
    <t>Prepaid Expenses and Other Assets</t>
  </si>
  <si>
    <t>Accounts Payable</t>
  </si>
  <si>
    <t>Accrued Expenses and Other Liabilities</t>
  </si>
  <si>
    <t>Accrued Compensation</t>
  </si>
  <si>
    <t>Provision for Chargebacks</t>
  </si>
  <si>
    <t>Deferred Revenue</t>
  </si>
  <si>
    <t>Net Cash Provided by Operating Activities</t>
  </si>
  <si>
    <t>Cash Flows from Investing</t>
  </si>
  <si>
    <t>Purchases of PPE</t>
  </si>
  <si>
    <t>Acquisitions, Net of Acquired Cash</t>
  </si>
  <si>
    <t>Net Cash Used in Investing Activities</t>
  </si>
  <si>
    <t>Cash Flows from Financing</t>
  </si>
  <si>
    <t>Proceeds from Convertible Debenture, Net of Bank Fees</t>
  </si>
  <si>
    <t>Proceeds from Long-term Debt Obligations</t>
  </si>
  <si>
    <t>Issuance of Common Stock Upon Exercise of Stock Options</t>
  </si>
  <si>
    <t>Excess Tax Benefites from Stock-based Compensation</t>
  </si>
  <si>
    <t>Distribution to Aptevo</t>
  </si>
  <si>
    <t>Contingent Obligation Payments</t>
  </si>
  <si>
    <t>Purchase of Treasury Stock</t>
  </si>
  <si>
    <t>Net Cash (Used in) Provided by Financing Activities</t>
  </si>
  <si>
    <t>Effect of Exchange Rate Changes on Cash and Cash Equivalents</t>
  </si>
  <si>
    <t>Net (Decrease) Increase in Cash and Cash Equivalents</t>
  </si>
  <si>
    <t>Cash and Cash Equivalents at Beginning of Year</t>
  </si>
  <si>
    <t>Cash and Cash Equivalents at End of Year</t>
  </si>
  <si>
    <t>Supplemental Disclosure of Cash Flow Information:</t>
  </si>
  <si>
    <t>Cash Paid During the Year for Interest</t>
  </si>
  <si>
    <t>Cash Paid During the Year for Income Taxes</t>
  </si>
  <si>
    <t>Supplemental Disclosure on Non-cash Investing and Financing Activities:</t>
  </si>
  <si>
    <t>Purchases of PPE Unpaid at Year End</t>
  </si>
  <si>
    <t>Assets</t>
  </si>
  <si>
    <t>Current Assets:</t>
  </si>
  <si>
    <t>Cash and Cash Equivalents</t>
  </si>
  <si>
    <t>Accounts Receivable, Net</t>
  </si>
  <si>
    <t>Income Tax Receivable, Net</t>
  </si>
  <si>
    <t>Prepaid Expenses and Other Current aSsets</t>
  </si>
  <si>
    <t>Current Assets of Discontinued Operations</t>
  </si>
  <si>
    <t>Total Current Assets</t>
  </si>
  <si>
    <t>Property, Plant and Equipment, Net</t>
  </si>
  <si>
    <t>In-process Research and Development</t>
  </si>
  <si>
    <t>Intangible Assets, Net</t>
  </si>
  <si>
    <t>Goodwill</t>
  </si>
  <si>
    <t>Deferred Tax Assets, Net</t>
  </si>
  <si>
    <t>Other Assets,</t>
  </si>
  <si>
    <t>Non-current Assets of Discontinued Operations</t>
  </si>
  <si>
    <t>Total Assets</t>
  </si>
  <si>
    <t>Liabilities and Stockholders' Equity</t>
  </si>
  <si>
    <t>Current Liabilities</t>
  </si>
  <si>
    <t>Accrued Expenses and Other Current Liabilities</t>
  </si>
  <si>
    <t>Notes Payable</t>
  </si>
  <si>
    <t>Contingent Consideration, Current Portion</t>
  </si>
  <si>
    <t>Deffered Revenue, Current Portion</t>
  </si>
  <si>
    <t>Current Liabilities of Discontinued Operations</t>
  </si>
  <si>
    <t>Total Current Liabilities</t>
  </si>
  <si>
    <t>Contingent Consideration, Net of Current Portion</t>
  </si>
  <si>
    <t>Long-term Indebtedness</t>
  </si>
  <si>
    <t>Deferred Revenue, Net of Current Portion</t>
  </si>
  <si>
    <t>Other Liabilities</t>
  </si>
  <si>
    <t>Non-current Liabilities of Discontinued Operations</t>
  </si>
  <si>
    <t>Total Liabilities</t>
  </si>
  <si>
    <t>Stockholders' Equity:</t>
  </si>
  <si>
    <t>Preferred Stock</t>
  </si>
  <si>
    <t>Common Stock</t>
  </si>
  <si>
    <t>Treasury Stock</t>
  </si>
  <si>
    <t>Additional Paid-in Capital</t>
  </si>
  <si>
    <t>Accumulated Other Comprehensive Loss</t>
  </si>
  <si>
    <t>Retained Earnings</t>
  </si>
  <si>
    <t>Total Stockholders' Eequity</t>
  </si>
  <si>
    <t>Total Liabilities and Stockholders' Equity</t>
  </si>
  <si>
    <t>BioThrax</t>
  </si>
  <si>
    <t>Total Product Sales</t>
  </si>
  <si>
    <t>Research and Development Expense</t>
  </si>
  <si>
    <t>Large-scale Manufacturing for BioThrax</t>
  </si>
  <si>
    <t>BioThrax Related Programs</t>
  </si>
  <si>
    <t>PreviThrax</t>
  </si>
  <si>
    <t>NuThrax</t>
  </si>
  <si>
    <t>Pandemic Influenza</t>
  </si>
  <si>
    <t>Anthrasil</t>
  </si>
  <si>
    <t>BAT</t>
  </si>
  <si>
    <t>EV-035 Series of Molecules</t>
  </si>
  <si>
    <t>CIADM Task Orders</t>
  </si>
  <si>
    <t>VIGIV</t>
  </si>
  <si>
    <t>Emergard</t>
  </si>
  <si>
    <t>Total</t>
  </si>
  <si>
    <t>Thravixa</t>
  </si>
  <si>
    <t>Other Biodefense</t>
  </si>
  <si>
    <t>Tuberculosis Vaccine</t>
  </si>
  <si>
    <t>Otlertuzumab (TRU-016)</t>
  </si>
  <si>
    <t>ES414 (T-Scorp)</t>
  </si>
  <si>
    <t>ES301 (DRACO)</t>
  </si>
  <si>
    <t>Other Biosciences</t>
  </si>
  <si>
    <t>Deferred Tax Assets</t>
  </si>
  <si>
    <t>Deferred Tax Liabilities, Net</t>
  </si>
  <si>
    <t>Deferred Tax Liability, Net</t>
  </si>
  <si>
    <t>Non-Controlling Interest in Subsidiaries</t>
  </si>
  <si>
    <t>Income Tax Payable</t>
  </si>
  <si>
    <t>Long-term Indebtedness, Current Portion</t>
  </si>
  <si>
    <t>*Inconsistencies between Annual Report data, Income Statement is based on 2016 Report while Balance Sheet and Cash Flows are based on each year report</t>
  </si>
  <si>
    <t>Non-cash Development Expenses from Joint Venture</t>
  </si>
  <si>
    <t>Proceeds from Sale of Assets</t>
  </si>
  <si>
    <t>Proceeds from Maturity of Investments</t>
  </si>
  <si>
    <t>Purchase of Investments</t>
  </si>
  <si>
    <t>Restricted Cash Deposit</t>
  </si>
  <si>
    <t>Property, Plant and Equipment</t>
  </si>
  <si>
    <t>Buildings</t>
  </si>
  <si>
    <t>Building Improvement</t>
  </si>
  <si>
    <t>Furniture and Equipment</t>
  </si>
  <si>
    <t>Software</t>
  </si>
  <si>
    <t>Leasehold Improvements</t>
  </si>
  <si>
    <t>31-39 years</t>
  </si>
  <si>
    <t>10-39 years</t>
  </si>
  <si>
    <t>3-15 years</t>
  </si>
  <si>
    <t>Lesser of 3-5 years or product life</t>
  </si>
  <si>
    <t>Lesser of the asset life or lease term</t>
  </si>
  <si>
    <t>Land and Improvements</t>
  </si>
  <si>
    <t>Buildings, Building Improvements and Leasehold Improvements</t>
  </si>
  <si>
    <t>Construction-in-progress</t>
  </si>
  <si>
    <t>Total Property, Plant and Equipment, Net</t>
  </si>
  <si>
    <t>Gross PPE</t>
  </si>
  <si>
    <t>Amortization</t>
  </si>
  <si>
    <t>EMERGENT BIOSOLUTIONS INC.</t>
  </si>
  <si>
    <t>Last updated on:</t>
  </si>
  <si>
    <t>By:</t>
  </si>
  <si>
    <t>Kevin Yulianto</t>
  </si>
  <si>
    <t>Income Statement</t>
  </si>
  <si>
    <t>(in thousands USD)</t>
  </si>
  <si>
    <t>Common Size Income Statement</t>
  </si>
  <si>
    <t>Balance Sheet</t>
  </si>
  <si>
    <t>Common Size Balance Sheet</t>
  </si>
  <si>
    <t>Cash Flow Statement</t>
  </si>
  <si>
    <t>(as % of Revenue or Asset)</t>
  </si>
  <si>
    <t>Growth (%)</t>
  </si>
  <si>
    <t>Deferred Revenue, Current Portion</t>
  </si>
  <si>
    <t>Total Stockholders' Equity</t>
  </si>
  <si>
    <t>As % of Revenue</t>
  </si>
  <si>
    <t>Depreciation During the Year</t>
  </si>
  <si>
    <t>Depreciation as % of Gross PPE</t>
  </si>
  <si>
    <t>Capital Expenditure</t>
  </si>
  <si>
    <t>Capex as % of Revenue</t>
  </si>
  <si>
    <t>As % of Gross PPE</t>
  </si>
  <si>
    <t>Company Estimate in 2016</t>
  </si>
  <si>
    <t>for 2021 and beyond</t>
  </si>
  <si>
    <t>Balance</t>
  </si>
  <si>
    <t>Accumulated Amortization</t>
  </si>
  <si>
    <t>Balance Check</t>
  </si>
  <si>
    <t>Misc. Assumption</t>
  </si>
  <si>
    <t>Cost Assumption as % of Revenue</t>
  </si>
  <si>
    <t>Rate</t>
  </si>
  <si>
    <t>Other Assets</t>
  </si>
  <si>
    <t>Debt Schedule</t>
  </si>
  <si>
    <t>Working Capital</t>
  </si>
  <si>
    <t>AR Turnover</t>
  </si>
  <si>
    <t>AP Turnover</t>
  </si>
  <si>
    <t>Inventory Turnover</t>
  </si>
  <si>
    <t>Days of Sales Outstanding</t>
  </si>
  <si>
    <t>Days of Inventory Turnover</t>
  </si>
  <si>
    <t>Days of AP Turnover</t>
  </si>
  <si>
    <t>Debt as % of Revenue</t>
  </si>
  <si>
    <t>Current Portion</t>
  </si>
  <si>
    <t>Non-Current Portion</t>
  </si>
  <si>
    <t>Beginning Balance</t>
  </si>
  <si>
    <t>Ending Balance</t>
  </si>
  <si>
    <t>Debt Repayment</t>
  </si>
  <si>
    <t xml:space="preserve">Debt Issuance </t>
  </si>
  <si>
    <t>Total Debt</t>
  </si>
  <si>
    <t>Preferred Shares Issuance (Repurchase)</t>
  </si>
  <si>
    <t>Treasury Stock Purchase or Resell</t>
  </si>
  <si>
    <t>Dividend</t>
  </si>
  <si>
    <t>Equity and Stock Based Compensation</t>
  </si>
  <si>
    <t>Profitability Ratio</t>
  </si>
  <si>
    <t>Return on Common Equity</t>
  </si>
  <si>
    <t>Return on Assets</t>
  </si>
  <si>
    <t>Return on Capital</t>
  </si>
  <si>
    <t>Margins</t>
  </si>
  <si>
    <t>Gross Margin</t>
  </si>
  <si>
    <t>EBITDA Margin</t>
  </si>
  <si>
    <t>Operating Margin</t>
  </si>
  <si>
    <t>Net Income Margin</t>
  </si>
  <si>
    <t>Leverage Ratio</t>
  </si>
  <si>
    <t>Debt to Equity</t>
  </si>
  <si>
    <t>Debt to Total Capital</t>
  </si>
  <si>
    <t>Interest Coverage Ratio</t>
  </si>
  <si>
    <t>Liquidity Ratio</t>
  </si>
  <si>
    <t>Current Ratio</t>
  </si>
  <si>
    <t>Acid Test Ratio</t>
  </si>
  <si>
    <t>Asset Turnover</t>
  </si>
  <si>
    <t>EBITDA * (1-Tax)</t>
  </si>
  <si>
    <t>+ Depreciation and Amortization * Tax</t>
  </si>
  <si>
    <t>- Change in Working Capital</t>
  </si>
  <si>
    <t>- Capital Expenditure</t>
  </si>
  <si>
    <t>Free Cash Flow to the Firm</t>
  </si>
  <si>
    <t>Period</t>
  </si>
  <si>
    <t>Present Value of FCFF</t>
  </si>
  <si>
    <t>Enterprise Value</t>
  </si>
  <si>
    <t>+ Cash and Cash Equivalent</t>
  </si>
  <si>
    <t>- Debt Outstanding</t>
  </si>
  <si>
    <t>Equity Value</t>
  </si>
  <si>
    <t>Number of Shares Outstanding</t>
  </si>
  <si>
    <t>Equity Value per Share</t>
  </si>
  <si>
    <t>Potential Upside / Downside</t>
  </si>
  <si>
    <t>Terminal Value</t>
  </si>
  <si>
    <t>In Thousands USD</t>
  </si>
  <si>
    <t>Current Stock Price</t>
  </si>
  <si>
    <t>Terminal Growth Rate Assumption</t>
  </si>
  <si>
    <t>WACC Assumption</t>
  </si>
  <si>
    <t>Dilution from 2.875% Convertible Senior Notes</t>
  </si>
  <si>
    <t>Conversion Price</t>
  </si>
  <si>
    <t>Shares per $1000 principal amount</t>
  </si>
  <si>
    <t>Dillution</t>
  </si>
  <si>
    <t>Stock Option Plan</t>
  </si>
  <si>
    <t>Shares Outstanding at Dec 31, 2016</t>
  </si>
  <si>
    <t>Intrinsic Value</t>
  </si>
  <si>
    <t>Shares Issuance (up to 200 million shares)</t>
  </si>
  <si>
    <t>1. Product Sales Breakdown</t>
  </si>
  <si>
    <t>2. Research and Development Expense</t>
  </si>
  <si>
    <t>3.PPE and Depreciation</t>
  </si>
  <si>
    <t>4. Amortization</t>
  </si>
  <si>
    <t>5. Cost Assumption</t>
  </si>
  <si>
    <t>6. Other Assumption</t>
  </si>
  <si>
    <t>7. Taxes</t>
  </si>
  <si>
    <t>1. Working Capital</t>
  </si>
  <si>
    <t>2. Debt Schedule</t>
  </si>
  <si>
    <t>3. Equity and Stock-based Compensation</t>
  </si>
  <si>
    <t>Exercise Value</t>
  </si>
  <si>
    <t>Shares Buyback (up to 50 million shares)</t>
  </si>
  <si>
    <t>Exercise Price Assumption</t>
  </si>
  <si>
    <t>Beta</t>
  </si>
  <si>
    <t>Return Market</t>
  </si>
  <si>
    <t>Risk Free Rate</t>
  </si>
  <si>
    <t>Cost of Debt</t>
  </si>
  <si>
    <t>Tax</t>
  </si>
  <si>
    <t>After Tax Cost of Debt</t>
  </si>
  <si>
    <t>Target Debt to Invested Capital</t>
  </si>
  <si>
    <t>Cost of Equity</t>
  </si>
  <si>
    <t>Option Maturity as of Dec 2016 (years)</t>
  </si>
  <si>
    <t xml:space="preserve">Maturity </t>
  </si>
  <si>
    <t>Shares Addition due to Conversion</t>
  </si>
  <si>
    <t>Ending Balance of Unconverted Shares</t>
  </si>
  <si>
    <t>Weighted Average Converstion Price</t>
  </si>
  <si>
    <t>Convertible Debt</t>
  </si>
  <si>
    <t>EBITDA</t>
  </si>
  <si>
    <t>Rates on Interest Income</t>
  </si>
  <si>
    <t>Rates on Interest Expense</t>
  </si>
  <si>
    <t>Prepaid Expenses and Other Current Assets</t>
  </si>
  <si>
    <t>Issuance or Buyback Price</t>
  </si>
  <si>
    <t>Principal Payments on Long-term Indebtedness less stock conversion (include noncash Tx)</t>
  </si>
  <si>
    <t>Convertible Debt Conversion</t>
  </si>
  <si>
    <t>Implied P/E18</t>
  </si>
  <si>
    <t>Growth</t>
  </si>
  <si>
    <t>of Total Value</t>
  </si>
  <si>
    <t>Implied P/E19</t>
  </si>
  <si>
    <t>Sensitivity Analysis</t>
  </si>
  <si>
    <t>WACC</t>
  </si>
  <si>
    <t>Terminal</t>
  </si>
  <si>
    <t>growth</t>
  </si>
  <si>
    <t>Est</t>
  </si>
  <si>
    <t>R&amp;D Expense</t>
  </si>
  <si>
    <t>less: Contracts and Grants</t>
  </si>
  <si>
    <t>Net R&amp;D Expense</t>
  </si>
  <si>
    <t>ACAM2000</t>
  </si>
  <si>
    <t>Raxibacumab</t>
  </si>
  <si>
    <t>RSDL</t>
  </si>
  <si>
    <t>Trobigard</t>
  </si>
  <si>
    <t>Acquired from Sanofi, the only FDA approved vaccine for smallpox, $425 million contract with CDC with remaining value of $160 million for delivery to SNS. WF: Revenue 2018: 80 m; 2019: 20 m; 2020 and so on: $45 m</t>
  </si>
  <si>
    <t>Acquired from GSK, FDA approved anthrax monoclonal antibody, multiyear contract with BARDA with remaining value of $130 million to SNS</t>
  </si>
  <si>
    <t>$25 million contract by Dept of State</t>
  </si>
  <si>
    <t>Awarded $63 million by BARDA to develop antidote for cyanide poisoning, awarded $ 23 million by DoD for nerve agent antidote injector</t>
  </si>
  <si>
    <t>9M17 increased by 62%</t>
  </si>
  <si>
    <t>BARDA procurement up to 200.000 doses to May 2018 (SNS) $53 m over 5 years</t>
  </si>
  <si>
    <t>5 year follow on contract of $ 171 million by DoD, now sold via Amazon</t>
  </si>
  <si>
    <t>BARDA development and procurement contract until April 2021, $130 m; $9 m in 2017, rest in 2018</t>
  </si>
  <si>
    <t>Other Countries</t>
  </si>
  <si>
    <t>Delivered $100 m to BARDA in March completed, CDC $911 m 5 year contract; Germany regulatory approval in 2017, target 5 other European countries and Canada in 2018, EU stockpiling of Medical Countermeasure (McM)</t>
  </si>
  <si>
    <t>CDC procurement contract 5 year to Aug 2017, extension potential? CDC (2016) extend contract of $11.6 m over 1 year, part of $92 m contract previously; renewed every time at $ 44m / 2 year</t>
  </si>
  <si>
    <t>BARDA contract 5 year $200 m to develop, if approved by FDA, 2018: $104 m, 2019: $255 m -1.5 b</t>
  </si>
  <si>
    <t>US Only</t>
  </si>
  <si>
    <t>R&amp;D C&amp;G as % of Contract and Grant</t>
  </si>
  <si>
    <t>Net R&amp;D as % of Revenue</t>
  </si>
  <si>
    <t xml:space="preserve">Less: Accumulated Depreciation </t>
  </si>
  <si>
    <t>9M17 decreased by 43%; doesn't matter, as it is 100% expensed in R&amp;D, 0 net profit unless product is successful</t>
  </si>
  <si>
    <t>Prepaid Expenses and Other Current assets</t>
  </si>
  <si>
    <t>+ Stock Based Compensation</t>
  </si>
  <si>
    <t>Notes</t>
  </si>
  <si>
    <t>Dividend Payout Ratio</t>
  </si>
  <si>
    <t>Ticker</t>
  </si>
  <si>
    <t>Name</t>
  </si>
  <si>
    <t>Mkt Cap</t>
  </si>
  <si>
    <t>EV</t>
  </si>
  <si>
    <t>EV/TTM EBITDA</t>
  </si>
  <si>
    <t>EV/EBITDA FY1</t>
  </si>
  <si>
    <t>EV/EBITDA FY2</t>
  </si>
  <si>
    <t>P/E</t>
  </si>
  <si>
    <t>P/E FY1</t>
  </si>
  <si>
    <t>P/E FY2</t>
  </si>
  <si>
    <t>P/FCF</t>
  </si>
  <si>
    <t>Dividend Yield</t>
  </si>
  <si>
    <t>Median</t>
  </si>
  <si>
    <t>EBS US Equity</t>
  </si>
  <si>
    <t>EMERGENT BIOSOLUTIONS INC</t>
  </si>
  <si>
    <t>#N/A N/A</t>
  </si>
  <si>
    <t>VRX CN Equity</t>
  </si>
  <si>
    <t>VALEANT PHARMACEUTICALS INTE</t>
  </si>
  <si>
    <t>SHP LN Equity</t>
  </si>
  <si>
    <t>SHIRE PLC</t>
  </si>
  <si>
    <t>ALKB DC Equity</t>
  </si>
  <si>
    <t>ALK-ABELLO A/S</t>
  </si>
  <si>
    <t>ALM SM Equity</t>
  </si>
  <si>
    <t>ALMIRALL SA</t>
  </si>
  <si>
    <t>ENDP US Equity</t>
  </si>
  <si>
    <t>ENDO INTERNATIONAL PLC</t>
  </si>
  <si>
    <t>SOBI SS Equity</t>
  </si>
  <si>
    <t>SWEDISH ORPHAN BIOVITRUM AB</t>
  </si>
  <si>
    <t>REC IM Equity</t>
  </si>
  <si>
    <t>RECORDATI SPA</t>
  </si>
  <si>
    <t>LUN DC Equity</t>
  </si>
  <si>
    <t>H LUNDBECK A/S</t>
  </si>
  <si>
    <t>ORNBV FH Equity</t>
  </si>
  <si>
    <t>ORION OYJ-CLASS B</t>
  </si>
  <si>
    <t>MNK US Equity</t>
  </si>
  <si>
    <t>MALLINCKRODT PLC</t>
  </si>
  <si>
    <t>ROVI SM Equity</t>
  </si>
  <si>
    <t>LABORATORIOS FARMACEUTICOS R</t>
  </si>
  <si>
    <t>BTG LN Equity</t>
  </si>
  <si>
    <t>BTG PLC</t>
  </si>
  <si>
    <t>ALT US Equity</t>
  </si>
  <si>
    <t>ALTIMMUNE INC</t>
  </si>
  <si>
    <t>PFNX US Equity</t>
  </si>
  <si>
    <t>PFENEX INC</t>
  </si>
  <si>
    <t>IMV CN Equity</t>
  </si>
  <si>
    <t>IMMUNOVACCINE INC</t>
  </si>
  <si>
    <t>GSK LN Equity</t>
  </si>
  <si>
    <t>GLAXOSMITHKLINE PLC</t>
  </si>
  <si>
    <t>SIGA US Equity</t>
  </si>
  <si>
    <t>SIGA TECHNOLOGIES INC</t>
  </si>
  <si>
    <t>Implied EV/EBITDA 18</t>
  </si>
  <si>
    <t>Implied EV/EBITDA 19</t>
  </si>
  <si>
    <t>Date</t>
  </si>
  <si>
    <t>Open</t>
  </si>
  <si>
    <t>High</t>
  </si>
  <si>
    <t>Low</t>
  </si>
  <si>
    <t>Close*</t>
  </si>
  <si>
    <t>Adj Close**</t>
  </si>
  <si>
    <t>Volume</t>
  </si>
  <si>
    <t>-</t>
  </si>
  <si>
    <t>EBS</t>
  </si>
  <si>
    <t>SP500TR</t>
  </si>
  <si>
    <t>FLU-IG</t>
  </si>
  <si>
    <t>UV-4B</t>
  </si>
  <si>
    <t>ZIKA-IG</t>
  </si>
  <si>
    <t>ZIKA-VLA1601</t>
  </si>
  <si>
    <t>GC-072 (EV035)</t>
  </si>
  <si>
    <t>FILOV</t>
  </si>
  <si>
    <t>Nerve agent antidotes</t>
  </si>
  <si>
    <t>Phase 3 in 2018, in partnership with BARDA</t>
  </si>
  <si>
    <t>Phase 2 in 2017</t>
  </si>
  <si>
    <t>Dengue vaccine, in partnership with NIH-NIAID, phase 1 in 2017</t>
  </si>
  <si>
    <t>Phase 1 in 2017 or 2018</t>
  </si>
  <si>
    <t>Partnership with DoD, in pre-clinical trial</t>
  </si>
  <si>
    <t>SIAN</t>
  </si>
  <si>
    <t>Partnership with BARDA</t>
  </si>
  <si>
    <t>Partnership with DoD</t>
  </si>
  <si>
    <t>Products</t>
  </si>
  <si>
    <t>Pipelines</t>
  </si>
  <si>
    <t>Contracts</t>
  </si>
  <si>
    <t>Details</t>
  </si>
  <si>
    <t>Delivered $100 m to BARDA in March 2017; $911 million contract for 5 years with CDC; Obtain Germany regulatory approval in 2017, management is targeting 5 other European countries and Canada in 2018; EU stockpiling of Medical Countermeasure (McM)</t>
  </si>
  <si>
    <t>BARDA 5 year development contract of $200 million, if approved by FDA in 2018 it is expected to contribute $104 m of 2018 revenue, 2019: $255 m -1.5 b</t>
  </si>
  <si>
    <t>BARDA development and procurement contract until April 2021, $130 m; $9 m in 2017, the rest in 2018 onward</t>
  </si>
  <si>
    <t>BARDA procurement up to 200.000 doses to May 2018 (SNS), $53 m over 5 years</t>
  </si>
  <si>
    <t>CDC procurement contract 5 year to Aug 2017, extension potential; CDC (2016) extend contract of $11.6 m over 1 year, part of $92 m contract previously; previously also renewed at $ 44m / 2 year</t>
  </si>
  <si>
    <t>Awarded $63 million by BARDA to develop antidote for cyanide poisoning; $ 23 million by DoD for nerve agent antidote injector</t>
  </si>
  <si>
    <t>Margin</t>
  </si>
  <si>
    <t>9m16</t>
  </si>
  <si>
    <t>9m17</t>
  </si>
  <si>
    <t>Rev</t>
  </si>
  <si>
    <t>NI</t>
  </si>
  <si>
    <t>Adj NI</t>
  </si>
  <si>
    <t>kevin.yulianto@mail.mcgill.ca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</si>
</sst>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7"/>
      <color rgb="FF464E56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E0E4E9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121">
    <xf numFmtId="0" fontId="0" fillId="0" borderId="0" xfId="0"/>
    <xf numFmtId="0" fontId="4" fillId="2" borderId="0" xfId="0" applyFont="1" applyFill="1"/>
    <xf numFmtId="0" fontId="6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0" fillId="3" borderId="0" xfId="0" applyFill="1"/>
    <xf numFmtId="0" fontId="0" fillId="3" borderId="1" xfId="0" applyFill="1" applyBorder="1"/>
    <xf numFmtId="0" fontId="2" fillId="3" borderId="0" xfId="0" applyFont="1" applyFill="1"/>
    <xf numFmtId="15" fontId="2" fillId="3" borderId="0" xfId="0" applyNumberFormat="1" applyFont="1" applyFill="1"/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 wrapText="1"/>
    </xf>
    <xf numFmtId="0" fontId="4" fillId="2" borderId="0" xfId="0" applyFont="1" applyFill="1" applyAlignment="1">
      <alignment wrapText="1"/>
    </xf>
    <xf numFmtId="0" fontId="5" fillId="2" borderId="0" xfId="0" applyFont="1" applyFill="1"/>
    <xf numFmtId="0" fontId="4" fillId="3" borderId="0" xfId="0" applyFont="1" applyFill="1" applyAlignment="1">
      <alignment wrapText="1"/>
    </xf>
    <xf numFmtId="0" fontId="4" fillId="3" borderId="0" xfId="0" applyFont="1" applyFill="1"/>
    <xf numFmtId="0" fontId="2" fillId="3" borderId="1" xfId="0" applyFont="1" applyFill="1" applyBorder="1" applyAlignment="1">
      <alignment wrapText="1"/>
    </xf>
    <xf numFmtId="0" fontId="2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1" fontId="0" fillId="3" borderId="0" xfId="0" applyNumberFormat="1" applyFill="1"/>
    <xf numFmtId="10" fontId="0" fillId="3" borderId="0" xfId="1" applyNumberFormat="1" applyFont="1" applyFill="1"/>
    <xf numFmtId="0" fontId="0" fillId="3" borderId="1" xfId="0" applyFill="1" applyBorder="1" applyAlignment="1">
      <alignment wrapText="1"/>
    </xf>
    <xf numFmtId="1" fontId="0" fillId="3" borderId="1" xfId="0" applyNumberFormat="1" applyFill="1" applyBorder="1"/>
    <xf numFmtId="1" fontId="2" fillId="3" borderId="0" xfId="0" applyNumberFormat="1" applyFont="1" applyFill="1"/>
    <xf numFmtId="0" fontId="0" fillId="3" borderId="2" xfId="0" applyFill="1" applyBorder="1" applyAlignment="1">
      <alignment wrapText="1"/>
    </xf>
    <xf numFmtId="0" fontId="0" fillId="3" borderId="2" xfId="0" applyFill="1" applyBorder="1"/>
    <xf numFmtId="1" fontId="0" fillId="3" borderId="2" xfId="0" applyNumberFormat="1" applyFill="1" applyBorder="1"/>
    <xf numFmtId="0" fontId="2" fillId="3" borderId="1" xfId="0" applyFont="1" applyFill="1" applyBorder="1"/>
    <xf numFmtId="1" fontId="2" fillId="3" borderId="1" xfId="0" applyNumberFormat="1" applyFont="1" applyFill="1" applyBorder="1"/>
    <xf numFmtId="10" fontId="2" fillId="3" borderId="0" xfId="1" applyNumberFormat="1" applyFont="1" applyFill="1"/>
    <xf numFmtId="0" fontId="0" fillId="3" borderId="0" xfId="0" applyFill="1" applyBorder="1" applyAlignment="1">
      <alignment wrapText="1"/>
    </xf>
    <xf numFmtId="0" fontId="0" fillId="3" borderId="0" xfId="0" applyFill="1" applyBorder="1"/>
    <xf numFmtId="1" fontId="0" fillId="3" borderId="0" xfId="0" applyNumberFormat="1" applyFill="1" applyBorder="1"/>
    <xf numFmtId="0" fontId="2" fillId="3" borderId="0" xfId="0" applyFont="1" applyFill="1" applyBorder="1" applyAlignment="1">
      <alignment wrapText="1"/>
    </xf>
    <xf numFmtId="0" fontId="2" fillId="3" borderId="0" xfId="0" applyFont="1" applyFill="1" applyBorder="1"/>
    <xf numFmtId="1" fontId="2" fillId="3" borderId="0" xfId="0" applyNumberFormat="1" applyFont="1" applyFill="1" applyBorder="1"/>
    <xf numFmtId="2" fontId="0" fillId="3" borderId="0" xfId="0" applyNumberFormat="1" applyFill="1"/>
    <xf numFmtId="0" fontId="7" fillId="3" borderId="0" xfId="0" applyFont="1" applyFill="1" applyAlignment="1">
      <alignment wrapText="1"/>
    </xf>
    <xf numFmtId="2" fontId="2" fillId="3" borderId="0" xfId="0" applyNumberFormat="1" applyFont="1" applyFill="1"/>
    <xf numFmtId="0" fontId="1" fillId="3" borderId="0" xfId="0" applyFont="1" applyFill="1" applyAlignment="1">
      <alignment wrapText="1"/>
    </xf>
    <xf numFmtId="0" fontId="11" fillId="3" borderId="0" xfId="0" applyFont="1" applyFill="1"/>
    <xf numFmtId="0" fontId="12" fillId="3" borderId="0" xfId="0" applyFont="1" applyFill="1" applyAlignment="1">
      <alignment wrapText="1"/>
    </xf>
    <xf numFmtId="0" fontId="9" fillId="3" borderId="0" xfId="0" applyFont="1" applyFill="1"/>
    <xf numFmtId="1" fontId="8" fillId="3" borderId="0" xfId="0" applyNumberFormat="1" applyFont="1" applyFill="1"/>
    <xf numFmtId="1" fontId="0" fillId="3" borderId="0" xfId="0" applyNumberFormat="1" applyFont="1" applyFill="1"/>
    <xf numFmtId="1" fontId="11" fillId="3" borderId="0" xfId="0" applyNumberFormat="1" applyFont="1" applyFill="1"/>
    <xf numFmtId="1" fontId="8" fillId="3" borderId="0" xfId="0" applyNumberFormat="1" applyFont="1" applyFill="1" applyAlignment="1">
      <alignment horizontal="right"/>
    </xf>
    <xf numFmtId="1" fontId="9" fillId="3" borderId="0" xfId="0" applyNumberFormat="1" applyFont="1" applyFill="1"/>
    <xf numFmtId="0" fontId="8" fillId="3" borderId="0" xfId="0" applyFont="1" applyFill="1"/>
    <xf numFmtId="10" fontId="9" fillId="3" borderId="0" xfId="0" applyNumberFormat="1" applyFont="1" applyFill="1"/>
    <xf numFmtId="10" fontId="8" fillId="3" borderId="0" xfId="1" applyNumberFormat="1" applyFont="1" applyFill="1"/>
    <xf numFmtId="10" fontId="10" fillId="3" borderId="0" xfId="1" applyNumberFormat="1" applyFont="1" applyFill="1"/>
    <xf numFmtId="10" fontId="9" fillId="3" borderId="0" xfId="1" applyNumberFormat="1" applyFont="1" applyFill="1"/>
    <xf numFmtId="0" fontId="0" fillId="3" borderId="0" xfId="0" applyFill="1" applyAlignment="1">
      <alignment horizontal="center" wrapText="1"/>
    </xf>
    <xf numFmtId="10" fontId="3" fillId="3" borderId="0" xfId="1" applyNumberFormat="1" applyFont="1" applyFill="1"/>
    <xf numFmtId="10" fontId="11" fillId="3" borderId="0" xfId="1" applyNumberFormat="1" applyFont="1" applyFill="1"/>
    <xf numFmtId="10" fontId="3" fillId="3" borderId="1" xfId="1" applyNumberFormat="1" applyFont="1" applyFill="1" applyBorder="1"/>
    <xf numFmtId="0" fontId="0" fillId="3" borderId="0" xfId="0" applyFont="1" applyFill="1"/>
    <xf numFmtId="10" fontId="11" fillId="3" borderId="0" xfId="0" applyNumberFormat="1" applyFont="1" applyFill="1"/>
    <xf numFmtId="9" fontId="11" fillId="3" borderId="0" xfId="0" applyNumberFormat="1" applyFont="1" applyFill="1"/>
    <xf numFmtId="9" fontId="2" fillId="3" borderId="0" xfId="0" applyNumberFormat="1" applyFont="1" applyFill="1"/>
    <xf numFmtId="0" fontId="0" fillId="3" borderId="0" xfId="0" applyFont="1" applyFill="1" applyAlignment="1">
      <alignment wrapText="1"/>
    </xf>
    <xf numFmtId="0" fontId="10" fillId="3" borderId="0" xfId="0" applyFont="1" applyFill="1"/>
    <xf numFmtId="10" fontId="0" fillId="3" borderId="1" xfId="1" applyNumberFormat="1" applyFont="1" applyFill="1" applyBorder="1"/>
    <xf numFmtId="0" fontId="11" fillId="3" borderId="1" xfId="0" applyFont="1" applyFill="1" applyBorder="1"/>
    <xf numFmtId="9" fontId="0" fillId="3" borderId="0" xfId="1" applyFont="1" applyFill="1"/>
    <xf numFmtId="9" fontId="13" fillId="3" borderId="0" xfId="1" applyFont="1" applyFill="1"/>
    <xf numFmtId="0" fontId="13" fillId="3" borderId="0" xfId="0" applyFont="1" applyFill="1"/>
    <xf numFmtId="1" fontId="13" fillId="3" borderId="0" xfId="0" applyNumberFormat="1" applyFont="1" applyFill="1"/>
    <xf numFmtId="0" fontId="0" fillId="3" borderId="0" xfId="0" quotePrefix="1" applyFill="1" applyAlignment="1">
      <alignment wrapText="1"/>
    </xf>
    <xf numFmtId="0" fontId="0" fillId="3" borderId="2" xfId="0" quotePrefix="1" applyFill="1" applyBorder="1" applyAlignment="1">
      <alignment wrapText="1"/>
    </xf>
    <xf numFmtId="0" fontId="0" fillId="3" borderId="0" xfId="0" applyFont="1" applyFill="1" applyBorder="1" applyAlignment="1">
      <alignment wrapText="1"/>
    </xf>
    <xf numFmtId="0" fontId="0" fillId="3" borderId="3" xfId="0" applyFill="1" applyBorder="1" applyAlignment="1">
      <alignment wrapText="1"/>
    </xf>
    <xf numFmtId="0" fontId="0" fillId="3" borderId="3" xfId="0" applyFill="1" applyBorder="1"/>
    <xf numFmtId="1" fontId="0" fillId="3" borderId="3" xfId="0" applyNumberFormat="1" applyFill="1" applyBorder="1"/>
    <xf numFmtId="164" fontId="2" fillId="3" borderId="0" xfId="1" applyNumberFormat="1" applyFont="1" applyFill="1"/>
    <xf numFmtId="9" fontId="0" fillId="3" borderId="0" xfId="0" applyNumberFormat="1" applyFill="1"/>
    <xf numFmtId="10" fontId="2" fillId="3" borderId="0" xfId="0" applyNumberFormat="1" applyFont="1" applyFill="1"/>
    <xf numFmtId="10" fontId="0" fillId="3" borderId="0" xfId="0" applyNumberFormat="1" applyFill="1"/>
    <xf numFmtId="9" fontId="0" fillId="3" borderId="0" xfId="1" applyNumberFormat="1" applyFont="1" applyFill="1"/>
    <xf numFmtId="2" fontId="3" fillId="3" borderId="0" xfId="1" applyNumberFormat="1" applyFont="1" applyFill="1"/>
    <xf numFmtId="2" fontId="0" fillId="3" borderId="0" xfId="1" applyNumberFormat="1" applyFont="1" applyFill="1"/>
    <xf numFmtId="10" fontId="2" fillId="3" borderId="2" xfId="1" applyNumberFormat="1" applyFont="1" applyFill="1" applyBorder="1"/>
    <xf numFmtId="2" fontId="2" fillId="3" borderId="5" xfId="0" applyNumberFormat="1" applyFont="1" applyFill="1" applyBorder="1"/>
    <xf numFmtId="10" fontId="2" fillId="3" borderId="4" xfId="0" applyNumberFormat="1" applyFont="1" applyFill="1" applyBorder="1"/>
    <xf numFmtId="10" fontId="2" fillId="4" borderId="2" xfId="1" applyNumberFormat="1" applyFont="1" applyFill="1" applyBorder="1"/>
    <xf numFmtId="2" fontId="3" fillId="4" borderId="0" xfId="1" applyNumberFormat="1" applyFont="1" applyFill="1"/>
    <xf numFmtId="2" fontId="0" fillId="4" borderId="0" xfId="1" applyNumberFormat="1" applyFont="1" applyFill="1"/>
    <xf numFmtId="10" fontId="2" fillId="4" borderId="4" xfId="0" applyNumberFormat="1" applyFont="1" applyFill="1" applyBorder="1"/>
    <xf numFmtId="165" fontId="2" fillId="3" borderId="0" xfId="2" applyNumberFormat="1" applyFont="1" applyFill="1"/>
    <xf numFmtId="0" fontId="12" fillId="3" borderId="0" xfId="0" applyFont="1" applyFill="1"/>
    <xf numFmtId="43" fontId="0" fillId="3" borderId="0" xfId="2" applyFont="1" applyFill="1"/>
    <xf numFmtId="1" fontId="7" fillId="3" borderId="0" xfId="0" applyNumberFormat="1" applyFont="1" applyFill="1"/>
    <xf numFmtId="9" fontId="2" fillId="3" borderId="0" xfId="1" applyFont="1" applyFill="1"/>
    <xf numFmtId="164" fontId="0" fillId="3" borderId="0" xfId="0" applyNumberFormat="1" applyFill="1"/>
    <xf numFmtId="165" fontId="11" fillId="3" borderId="0" xfId="2" applyNumberFormat="1" applyFont="1" applyFill="1"/>
    <xf numFmtId="165" fontId="11" fillId="3" borderId="0" xfId="1" applyNumberFormat="1" applyFont="1" applyFill="1"/>
    <xf numFmtId="1" fontId="11" fillId="3" borderId="2" xfId="0" applyNumberFormat="1" applyFont="1" applyFill="1" applyBorder="1"/>
    <xf numFmtId="0" fontId="0" fillId="3" borderId="0" xfId="0" quotePrefix="1" applyFont="1" applyFill="1" applyAlignment="1">
      <alignment wrapText="1"/>
    </xf>
    <xf numFmtId="1" fontId="10" fillId="3" borderId="0" xfId="0" applyNumberFormat="1" applyFont="1" applyFill="1"/>
    <xf numFmtId="2" fontId="2" fillId="3" borderId="1" xfId="0" applyNumberFormat="1" applyFont="1" applyFill="1" applyBorder="1"/>
    <xf numFmtId="0" fontId="5" fillId="3" borderId="0" xfId="0" applyFont="1" applyFill="1" applyAlignment="1"/>
    <xf numFmtId="0" fontId="14" fillId="5" borderId="0" xfId="0" applyFont="1" applyFill="1" applyAlignment="1">
      <alignment horizontal="left" vertical="center" wrapText="1"/>
    </xf>
    <xf numFmtId="0" fontId="14" fillId="5" borderId="0" xfId="0" applyFont="1" applyFill="1" applyAlignment="1">
      <alignment horizontal="center" vertical="center" wrapText="1"/>
    </xf>
    <xf numFmtId="15" fontId="15" fillId="5" borderId="6" xfId="0" applyNumberFormat="1" applyFont="1" applyFill="1" applyBorder="1" applyAlignment="1">
      <alignment horizontal="left" vertical="center"/>
    </xf>
    <xf numFmtId="0" fontId="15" fillId="5" borderId="6" xfId="0" applyFont="1" applyFill="1" applyBorder="1" applyAlignment="1">
      <alignment horizontal="right" vertical="center"/>
    </xf>
    <xf numFmtId="3" fontId="15" fillId="5" borderId="6" xfId="0" applyNumberFormat="1" applyFont="1" applyFill="1" applyBorder="1" applyAlignment="1">
      <alignment horizontal="right" vertical="center"/>
    </xf>
    <xf numFmtId="4" fontId="15" fillId="5" borderId="6" xfId="0" applyNumberFormat="1" applyFont="1" applyFill="1" applyBorder="1" applyAlignment="1">
      <alignment horizontal="right" vertical="center"/>
    </xf>
    <xf numFmtId="0" fontId="2" fillId="0" borderId="0" xfId="0" applyFont="1"/>
    <xf numFmtId="0" fontId="0" fillId="0" borderId="0" xfId="0" applyAlignment="1">
      <alignment wrapText="1"/>
    </xf>
    <xf numFmtId="0" fontId="2" fillId="0" borderId="7" xfId="0" applyFont="1" applyBorder="1"/>
    <xf numFmtId="0" fontId="2" fillId="0" borderId="8" xfId="0" applyFont="1" applyBorder="1" applyAlignment="1">
      <alignment wrapText="1"/>
    </xf>
    <xf numFmtId="0" fontId="0" fillId="0" borderId="9" xfId="0" applyBorder="1"/>
    <xf numFmtId="0" fontId="0" fillId="0" borderId="10" xfId="0" applyBorder="1" applyAlignment="1">
      <alignment wrapText="1"/>
    </xf>
    <xf numFmtId="0" fontId="0" fillId="0" borderId="11" xfId="0" applyBorder="1"/>
    <xf numFmtId="0" fontId="0" fillId="0" borderId="12" xfId="0" applyBorder="1" applyAlignment="1">
      <alignment wrapText="1"/>
    </xf>
    <xf numFmtId="0" fontId="0" fillId="0" borderId="13" xfId="0" applyBorder="1"/>
    <xf numFmtId="0" fontId="0" fillId="0" borderId="14" xfId="0" applyBorder="1" applyAlignment="1">
      <alignment wrapText="1"/>
    </xf>
    <xf numFmtId="0" fontId="2" fillId="0" borderId="15" xfId="0" applyFont="1" applyBorder="1"/>
    <xf numFmtId="0" fontId="2" fillId="0" borderId="16" xfId="0" applyFont="1" applyBorder="1" applyAlignment="1">
      <alignment wrapText="1"/>
    </xf>
    <xf numFmtId="4" fontId="15" fillId="5" borderId="0" xfId="0" applyNumberFormat="1" applyFont="1" applyFill="1" applyBorder="1" applyAlignment="1">
      <alignment horizontal="right" vertical="center"/>
    </xf>
    <xf numFmtId="164" fontId="0" fillId="0" borderId="0" xfId="1" applyNumberFormat="1" applyFont="1"/>
    <xf numFmtId="0" fontId="16" fillId="3" borderId="0" xfId="3" applyFill="1"/>
  </cellXfs>
  <cellStyles count="4">
    <cellStyle name="Comma" xfId="2" builtinId="3"/>
    <cellStyle name="Hyperlink" xfId="3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Historical</a:t>
            </a:r>
            <a:r>
              <a:rPr lang="en-CA" baseline="0"/>
              <a:t> Stock Price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Emergent Biosolutions (LHS)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Sheet1!$A$5:$A$311</c:f>
              <c:numCache>
                <c:formatCode>d\-mmm\-yy</c:formatCode>
                <c:ptCount val="307"/>
                <c:pt idx="0">
                  <c:v>43043</c:v>
                </c:pt>
                <c:pt idx="1">
                  <c:v>43036</c:v>
                </c:pt>
                <c:pt idx="2">
                  <c:v>43029</c:v>
                </c:pt>
                <c:pt idx="3">
                  <c:v>43022</c:v>
                </c:pt>
                <c:pt idx="4">
                  <c:v>43015</c:v>
                </c:pt>
                <c:pt idx="5">
                  <c:v>43008</c:v>
                </c:pt>
                <c:pt idx="6">
                  <c:v>43001</c:v>
                </c:pt>
                <c:pt idx="7">
                  <c:v>42994</c:v>
                </c:pt>
                <c:pt idx="8">
                  <c:v>42987</c:v>
                </c:pt>
                <c:pt idx="9">
                  <c:v>42980</c:v>
                </c:pt>
                <c:pt idx="10">
                  <c:v>42973</c:v>
                </c:pt>
                <c:pt idx="11">
                  <c:v>42966</c:v>
                </c:pt>
                <c:pt idx="12">
                  <c:v>42959</c:v>
                </c:pt>
                <c:pt idx="13">
                  <c:v>42952</c:v>
                </c:pt>
                <c:pt idx="14">
                  <c:v>42945</c:v>
                </c:pt>
                <c:pt idx="15">
                  <c:v>42938</c:v>
                </c:pt>
                <c:pt idx="16">
                  <c:v>42931</c:v>
                </c:pt>
                <c:pt idx="17">
                  <c:v>42924</c:v>
                </c:pt>
                <c:pt idx="18">
                  <c:v>42917</c:v>
                </c:pt>
                <c:pt idx="19">
                  <c:v>42910</c:v>
                </c:pt>
                <c:pt idx="20">
                  <c:v>42903</c:v>
                </c:pt>
                <c:pt idx="21">
                  <c:v>42896</c:v>
                </c:pt>
                <c:pt idx="22">
                  <c:v>42889</c:v>
                </c:pt>
                <c:pt idx="23">
                  <c:v>42882</c:v>
                </c:pt>
                <c:pt idx="24">
                  <c:v>42875</c:v>
                </c:pt>
                <c:pt idx="25">
                  <c:v>42868</c:v>
                </c:pt>
                <c:pt idx="26">
                  <c:v>42861</c:v>
                </c:pt>
                <c:pt idx="27">
                  <c:v>42854</c:v>
                </c:pt>
                <c:pt idx="28">
                  <c:v>42847</c:v>
                </c:pt>
                <c:pt idx="29">
                  <c:v>42840</c:v>
                </c:pt>
                <c:pt idx="30">
                  <c:v>42833</c:v>
                </c:pt>
                <c:pt idx="31">
                  <c:v>42826</c:v>
                </c:pt>
                <c:pt idx="32">
                  <c:v>42819</c:v>
                </c:pt>
                <c:pt idx="33">
                  <c:v>42812</c:v>
                </c:pt>
                <c:pt idx="34">
                  <c:v>42806</c:v>
                </c:pt>
                <c:pt idx="35">
                  <c:v>42799</c:v>
                </c:pt>
                <c:pt idx="36">
                  <c:v>42792</c:v>
                </c:pt>
                <c:pt idx="37">
                  <c:v>42785</c:v>
                </c:pt>
                <c:pt idx="38">
                  <c:v>42778</c:v>
                </c:pt>
                <c:pt idx="39">
                  <c:v>42771</c:v>
                </c:pt>
                <c:pt idx="40">
                  <c:v>42764</c:v>
                </c:pt>
                <c:pt idx="41">
                  <c:v>42757</c:v>
                </c:pt>
                <c:pt idx="42">
                  <c:v>42750</c:v>
                </c:pt>
                <c:pt idx="43">
                  <c:v>42743</c:v>
                </c:pt>
                <c:pt idx="44">
                  <c:v>42736</c:v>
                </c:pt>
                <c:pt idx="46">
                  <c:v>42729</c:v>
                </c:pt>
                <c:pt idx="47">
                  <c:v>42722</c:v>
                </c:pt>
                <c:pt idx="48">
                  <c:v>42715</c:v>
                </c:pt>
                <c:pt idx="49">
                  <c:v>42708</c:v>
                </c:pt>
                <c:pt idx="50">
                  <c:v>42701</c:v>
                </c:pt>
                <c:pt idx="51">
                  <c:v>42694</c:v>
                </c:pt>
                <c:pt idx="52">
                  <c:v>42687</c:v>
                </c:pt>
                <c:pt idx="53">
                  <c:v>42679</c:v>
                </c:pt>
                <c:pt idx="54">
                  <c:v>42672</c:v>
                </c:pt>
                <c:pt idx="55">
                  <c:v>42665</c:v>
                </c:pt>
                <c:pt idx="56">
                  <c:v>42658</c:v>
                </c:pt>
                <c:pt idx="57">
                  <c:v>42651</c:v>
                </c:pt>
                <c:pt idx="58">
                  <c:v>42644</c:v>
                </c:pt>
                <c:pt idx="59">
                  <c:v>42637</c:v>
                </c:pt>
                <c:pt idx="60">
                  <c:v>42630</c:v>
                </c:pt>
                <c:pt idx="61">
                  <c:v>42623</c:v>
                </c:pt>
                <c:pt idx="62">
                  <c:v>42616</c:v>
                </c:pt>
                <c:pt idx="63">
                  <c:v>42609</c:v>
                </c:pt>
                <c:pt idx="64">
                  <c:v>42602</c:v>
                </c:pt>
                <c:pt idx="65">
                  <c:v>42595</c:v>
                </c:pt>
                <c:pt idx="66">
                  <c:v>42588</c:v>
                </c:pt>
                <c:pt idx="67">
                  <c:v>42581</c:v>
                </c:pt>
                <c:pt idx="68">
                  <c:v>42574</c:v>
                </c:pt>
                <c:pt idx="69">
                  <c:v>42567</c:v>
                </c:pt>
                <c:pt idx="70">
                  <c:v>42560</c:v>
                </c:pt>
                <c:pt idx="71">
                  <c:v>42553</c:v>
                </c:pt>
                <c:pt idx="72">
                  <c:v>42546</c:v>
                </c:pt>
                <c:pt idx="73">
                  <c:v>42539</c:v>
                </c:pt>
                <c:pt idx="74">
                  <c:v>42532</c:v>
                </c:pt>
                <c:pt idx="75">
                  <c:v>42525</c:v>
                </c:pt>
                <c:pt idx="76">
                  <c:v>42518</c:v>
                </c:pt>
                <c:pt idx="77">
                  <c:v>42511</c:v>
                </c:pt>
                <c:pt idx="78">
                  <c:v>42504</c:v>
                </c:pt>
                <c:pt idx="79">
                  <c:v>42497</c:v>
                </c:pt>
                <c:pt idx="80">
                  <c:v>42490</c:v>
                </c:pt>
                <c:pt idx="81">
                  <c:v>42483</c:v>
                </c:pt>
                <c:pt idx="82">
                  <c:v>42476</c:v>
                </c:pt>
                <c:pt idx="83">
                  <c:v>42469</c:v>
                </c:pt>
                <c:pt idx="84">
                  <c:v>42462</c:v>
                </c:pt>
                <c:pt idx="85">
                  <c:v>42455</c:v>
                </c:pt>
                <c:pt idx="86">
                  <c:v>42448</c:v>
                </c:pt>
                <c:pt idx="87">
                  <c:v>42442</c:v>
                </c:pt>
                <c:pt idx="88">
                  <c:v>42435</c:v>
                </c:pt>
                <c:pt idx="89">
                  <c:v>42428</c:v>
                </c:pt>
                <c:pt idx="90">
                  <c:v>42421</c:v>
                </c:pt>
                <c:pt idx="91">
                  <c:v>42414</c:v>
                </c:pt>
                <c:pt idx="92">
                  <c:v>42407</c:v>
                </c:pt>
                <c:pt idx="93">
                  <c:v>42400</c:v>
                </c:pt>
                <c:pt idx="94">
                  <c:v>42393</c:v>
                </c:pt>
                <c:pt idx="95">
                  <c:v>42386</c:v>
                </c:pt>
                <c:pt idx="96">
                  <c:v>42379</c:v>
                </c:pt>
                <c:pt idx="97">
                  <c:v>42372</c:v>
                </c:pt>
                <c:pt idx="98">
                  <c:v>42365</c:v>
                </c:pt>
                <c:pt idx="99">
                  <c:v>42358</c:v>
                </c:pt>
                <c:pt idx="100">
                  <c:v>42351</c:v>
                </c:pt>
                <c:pt idx="101">
                  <c:v>42344</c:v>
                </c:pt>
                <c:pt idx="102">
                  <c:v>42337</c:v>
                </c:pt>
                <c:pt idx="103">
                  <c:v>42330</c:v>
                </c:pt>
                <c:pt idx="104">
                  <c:v>42323</c:v>
                </c:pt>
                <c:pt idx="105">
                  <c:v>42316</c:v>
                </c:pt>
                <c:pt idx="106">
                  <c:v>42308</c:v>
                </c:pt>
                <c:pt idx="107">
                  <c:v>42301</c:v>
                </c:pt>
                <c:pt idx="108">
                  <c:v>42294</c:v>
                </c:pt>
                <c:pt idx="109">
                  <c:v>42287</c:v>
                </c:pt>
                <c:pt idx="110">
                  <c:v>42280</c:v>
                </c:pt>
                <c:pt idx="111">
                  <c:v>42273</c:v>
                </c:pt>
                <c:pt idx="112">
                  <c:v>42266</c:v>
                </c:pt>
                <c:pt idx="113">
                  <c:v>42259</c:v>
                </c:pt>
                <c:pt idx="114">
                  <c:v>42252</c:v>
                </c:pt>
                <c:pt idx="115">
                  <c:v>42245</c:v>
                </c:pt>
                <c:pt idx="116">
                  <c:v>42238</c:v>
                </c:pt>
                <c:pt idx="117">
                  <c:v>42231</c:v>
                </c:pt>
                <c:pt idx="118">
                  <c:v>42224</c:v>
                </c:pt>
                <c:pt idx="119">
                  <c:v>42217</c:v>
                </c:pt>
                <c:pt idx="120">
                  <c:v>42210</c:v>
                </c:pt>
                <c:pt idx="121">
                  <c:v>42203</c:v>
                </c:pt>
                <c:pt idx="122">
                  <c:v>42196</c:v>
                </c:pt>
                <c:pt idx="123">
                  <c:v>42189</c:v>
                </c:pt>
                <c:pt idx="124">
                  <c:v>42182</c:v>
                </c:pt>
                <c:pt idx="125">
                  <c:v>42175</c:v>
                </c:pt>
                <c:pt idx="126">
                  <c:v>42168</c:v>
                </c:pt>
                <c:pt idx="127">
                  <c:v>42161</c:v>
                </c:pt>
                <c:pt idx="128">
                  <c:v>42154</c:v>
                </c:pt>
                <c:pt idx="129">
                  <c:v>42147</c:v>
                </c:pt>
                <c:pt idx="130">
                  <c:v>42140</c:v>
                </c:pt>
                <c:pt idx="131">
                  <c:v>42133</c:v>
                </c:pt>
                <c:pt idx="132">
                  <c:v>42126</c:v>
                </c:pt>
                <c:pt idx="133">
                  <c:v>42119</c:v>
                </c:pt>
                <c:pt idx="134">
                  <c:v>42112</c:v>
                </c:pt>
                <c:pt idx="135">
                  <c:v>42105</c:v>
                </c:pt>
                <c:pt idx="136">
                  <c:v>42098</c:v>
                </c:pt>
                <c:pt idx="137">
                  <c:v>42091</c:v>
                </c:pt>
                <c:pt idx="138">
                  <c:v>42084</c:v>
                </c:pt>
                <c:pt idx="139">
                  <c:v>42077</c:v>
                </c:pt>
                <c:pt idx="140">
                  <c:v>42071</c:v>
                </c:pt>
                <c:pt idx="141">
                  <c:v>42064</c:v>
                </c:pt>
                <c:pt idx="142">
                  <c:v>42057</c:v>
                </c:pt>
                <c:pt idx="143">
                  <c:v>42050</c:v>
                </c:pt>
                <c:pt idx="144">
                  <c:v>42043</c:v>
                </c:pt>
                <c:pt idx="145">
                  <c:v>42036</c:v>
                </c:pt>
                <c:pt idx="146">
                  <c:v>42029</c:v>
                </c:pt>
                <c:pt idx="147">
                  <c:v>42022</c:v>
                </c:pt>
                <c:pt idx="148">
                  <c:v>42015</c:v>
                </c:pt>
                <c:pt idx="149">
                  <c:v>42008</c:v>
                </c:pt>
                <c:pt idx="150">
                  <c:v>42001</c:v>
                </c:pt>
                <c:pt idx="151">
                  <c:v>41994</c:v>
                </c:pt>
                <c:pt idx="152">
                  <c:v>41987</c:v>
                </c:pt>
                <c:pt idx="153">
                  <c:v>41980</c:v>
                </c:pt>
                <c:pt idx="154">
                  <c:v>41973</c:v>
                </c:pt>
                <c:pt idx="155">
                  <c:v>41966</c:v>
                </c:pt>
                <c:pt idx="156">
                  <c:v>41959</c:v>
                </c:pt>
                <c:pt idx="157">
                  <c:v>41952</c:v>
                </c:pt>
                <c:pt idx="158">
                  <c:v>41944</c:v>
                </c:pt>
                <c:pt idx="159">
                  <c:v>41937</c:v>
                </c:pt>
                <c:pt idx="160">
                  <c:v>41930</c:v>
                </c:pt>
                <c:pt idx="161">
                  <c:v>41923</c:v>
                </c:pt>
                <c:pt idx="162">
                  <c:v>41916</c:v>
                </c:pt>
                <c:pt idx="163">
                  <c:v>41909</c:v>
                </c:pt>
                <c:pt idx="164">
                  <c:v>41902</c:v>
                </c:pt>
                <c:pt idx="165">
                  <c:v>41895</c:v>
                </c:pt>
                <c:pt idx="166">
                  <c:v>41888</c:v>
                </c:pt>
                <c:pt idx="167">
                  <c:v>41881</c:v>
                </c:pt>
                <c:pt idx="168">
                  <c:v>41874</c:v>
                </c:pt>
                <c:pt idx="169">
                  <c:v>41867</c:v>
                </c:pt>
                <c:pt idx="170">
                  <c:v>41860</c:v>
                </c:pt>
                <c:pt idx="171">
                  <c:v>41853</c:v>
                </c:pt>
                <c:pt idx="172">
                  <c:v>41846</c:v>
                </c:pt>
                <c:pt idx="173">
                  <c:v>41839</c:v>
                </c:pt>
                <c:pt idx="174">
                  <c:v>41832</c:v>
                </c:pt>
                <c:pt idx="175">
                  <c:v>41825</c:v>
                </c:pt>
                <c:pt idx="176">
                  <c:v>41818</c:v>
                </c:pt>
                <c:pt idx="177">
                  <c:v>41811</c:v>
                </c:pt>
                <c:pt idx="178">
                  <c:v>41804</c:v>
                </c:pt>
                <c:pt idx="179">
                  <c:v>41797</c:v>
                </c:pt>
                <c:pt idx="180">
                  <c:v>41790</c:v>
                </c:pt>
                <c:pt idx="181">
                  <c:v>41783</c:v>
                </c:pt>
                <c:pt idx="182">
                  <c:v>41776</c:v>
                </c:pt>
                <c:pt idx="183">
                  <c:v>41769</c:v>
                </c:pt>
                <c:pt idx="184">
                  <c:v>41762</c:v>
                </c:pt>
                <c:pt idx="185">
                  <c:v>41755</c:v>
                </c:pt>
                <c:pt idx="186">
                  <c:v>41748</c:v>
                </c:pt>
                <c:pt idx="187">
                  <c:v>41741</c:v>
                </c:pt>
                <c:pt idx="188">
                  <c:v>41734</c:v>
                </c:pt>
                <c:pt idx="189">
                  <c:v>41727</c:v>
                </c:pt>
                <c:pt idx="190">
                  <c:v>41720</c:v>
                </c:pt>
                <c:pt idx="191">
                  <c:v>41713</c:v>
                </c:pt>
                <c:pt idx="192">
                  <c:v>41707</c:v>
                </c:pt>
                <c:pt idx="193">
                  <c:v>41700</c:v>
                </c:pt>
                <c:pt idx="194">
                  <c:v>41693</c:v>
                </c:pt>
                <c:pt idx="195">
                  <c:v>41686</c:v>
                </c:pt>
                <c:pt idx="196">
                  <c:v>41679</c:v>
                </c:pt>
                <c:pt idx="197">
                  <c:v>41672</c:v>
                </c:pt>
                <c:pt idx="198">
                  <c:v>41665</c:v>
                </c:pt>
                <c:pt idx="199">
                  <c:v>41658</c:v>
                </c:pt>
                <c:pt idx="200">
                  <c:v>41651</c:v>
                </c:pt>
                <c:pt idx="201">
                  <c:v>41644</c:v>
                </c:pt>
                <c:pt idx="202">
                  <c:v>41637</c:v>
                </c:pt>
                <c:pt idx="203">
                  <c:v>41630</c:v>
                </c:pt>
                <c:pt idx="204">
                  <c:v>41623</c:v>
                </c:pt>
                <c:pt idx="205">
                  <c:v>41616</c:v>
                </c:pt>
                <c:pt idx="206">
                  <c:v>41609</c:v>
                </c:pt>
                <c:pt idx="207">
                  <c:v>41602</c:v>
                </c:pt>
                <c:pt idx="208">
                  <c:v>41595</c:v>
                </c:pt>
                <c:pt idx="209">
                  <c:v>41588</c:v>
                </c:pt>
                <c:pt idx="210">
                  <c:v>41580</c:v>
                </c:pt>
                <c:pt idx="211">
                  <c:v>41573</c:v>
                </c:pt>
                <c:pt idx="212">
                  <c:v>41566</c:v>
                </c:pt>
                <c:pt idx="213">
                  <c:v>41559</c:v>
                </c:pt>
                <c:pt idx="214">
                  <c:v>41552</c:v>
                </c:pt>
                <c:pt idx="215">
                  <c:v>41545</c:v>
                </c:pt>
                <c:pt idx="216">
                  <c:v>41538</c:v>
                </c:pt>
                <c:pt idx="217">
                  <c:v>41531</c:v>
                </c:pt>
                <c:pt idx="218">
                  <c:v>41524</c:v>
                </c:pt>
                <c:pt idx="219">
                  <c:v>41517</c:v>
                </c:pt>
                <c:pt idx="220">
                  <c:v>41510</c:v>
                </c:pt>
                <c:pt idx="221">
                  <c:v>41503</c:v>
                </c:pt>
                <c:pt idx="222">
                  <c:v>41496</c:v>
                </c:pt>
                <c:pt idx="223">
                  <c:v>41489</c:v>
                </c:pt>
                <c:pt idx="224">
                  <c:v>41482</c:v>
                </c:pt>
                <c:pt idx="225">
                  <c:v>41475</c:v>
                </c:pt>
                <c:pt idx="226">
                  <c:v>41468</c:v>
                </c:pt>
                <c:pt idx="227">
                  <c:v>41461</c:v>
                </c:pt>
                <c:pt idx="228">
                  <c:v>41454</c:v>
                </c:pt>
                <c:pt idx="229">
                  <c:v>41447</c:v>
                </c:pt>
                <c:pt idx="230">
                  <c:v>41440</c:v>
                </c:pt>
                <c:pt idx="231">
                  <c:v>41433</c:v>
                </c:pt>
                <c:pt idx="232">
                  <c:v>41426</c:v>
                </c:pt>
                <c:pt idx="233">
                  <c:v>41419</c:v>
                </c:pt>
                <c:pt idx="234">
                  <c:v>41412</c:v>
                </c:pt>
                <c:pt idx="235">
                  <c:v>41405</c:v>
                </c:pt>
                <c:pt idx="236">
                  <c:v>41398</c:v>
                </c:pt>
                <c:pt idx="237">
                  <c:v>41391</c:v>
                </c:pt>
                <c:pt idx="238">
                  <c:v>41384</c:v>
                </c:pt>
                <c:pt idx="239">
                  <c:v>41377</c:v>
                </c:pt>
                <c:pt idx="240">
                  <c:v>41370</c:v>
                </c:pt>
                <c:pt idx="241">
                  <c:v>41363</c:v>
                </c:pt>
                <c:pt idx="242">
                  <c:v>41356</c:v>
                </c:pt>
                <c:pt idx="243">
                  <c:v>41349</c:v>
                </c:pt>
                <c:pt idx="244">
                  <c:v>41343</c:v>
                </c:pt>
                <c:pt idx="245">
                  <c:v>41336</c:v>
                </c:pt>
                <c:pt idx="246">
                  <c:v>41329</c:v>
                </c:pt>
                <c:pt idx="247">
                  <c:v>41322</c:v>
                </c:pt>
                <c:pt idx="248">
                  <c:v>41315</c:v>
                </c:pt>
                <c:pt idx="249">
                  <c:v>41308</c:v>
                </c:pt>
                <c:pt idx="250">
                  <c:v>41301</c:v>
                </c:pt>
                <c:pt idx="251">
                  <c:v>41294</c:v>
                </c:pt>
                <c:pt idx="252">
                  <c:v>41287</c:v>
                </c:pt>
                <c:pt idx="253">
                  <c:v>41280</c:v>
                </c:pt>
                <c:pt idx="254">
                  <c:v>41273</c:v>
                </c:pt>
                <c:pt idx="255">
                  <c:v>41266</c:v>
                </c:pt>
                <c:pt idx="256">
                  <c:v>41259</c:v>
                </c:pt>
                <c:pt idx="257">
                  <c:v>41252</c:v>
                </c:pt>
                <c:pt idx="258">
                  <c:v>41245</c:v>
                </c:pt>
                <c:pt idx="259">
                  <c:v>41238</c:v>
                </c:pt>
                <c:pt idx="260">
                  <c:v>41231</c:v>
                </c:pt>
                <c:pt idx="261">
                  <c:v>41224</c:v>
                </c:pt>
                <c:pt idx="262">
                  <c:v>41216</c:v>
                </c:pt>
                <c:pt idx="263">
                  <c:v>41209</c:v>
                </c:pt>
                <c:pt idx="264">
                  <c:v>41202</c:v>
                </c:pt>
                <c:pt idx="265">
                  <c:v>41195</c:v>
                </c:pt>
                <c:pt idx="266">
                  <c:v>41188</c:v>
                </c:pt>
                <c:pt idx="267">
                  <c:v>41181</c:v>
                </c:pt>
                <c:pt idx="268">
                  <c:v>41174</c:v>
                </c:pt>
                <c:pt idx="269">
                  <c:v>41167</c:v>
                </c:pt>
                <c:pt idx="270">
                  <c:v>41160</c:v>
                </c:pt>
                <c:pt idx="271">
                  <c:v>41153</c:v>
                </c:pt>
                <c:pt idx="272">
                  <c:v>41146</c:v>
                </c:pt>
                <c:pt idx="273">
                  <c:v>41139</c:v>
                </c:pt>
                <c:pt idx="274">
                  <c:v>41132</c:v>
                </c:pt>
                <c:pt idx="275">
                  <c:v>41125</c:v>
                </c:pt>
                <c:pt idx="276">
                  <c:v>41118</c:v>
                </c:pt>
                <c:pt idx="277">
                  <c:v>41111</c:v>
                </c:pt>
                <c:pt idx="278">
                  <c:v>41104</c:v>
                </c:pt>
                <c:pt idx="279">
                  <c:v>41097</c:v>
                </c:pt>
                <c:pt idx="280">
                  <c:v>41090</c:v>
                </c:pt>
                <c:pt idx="281">
                  <c:v>41083</c:v>
                </c:pt>
                <c:pt idx="282">
                  <c:v>41076</c:v>
                </c:pt>
                <c:pt idx="283">
                  <c:v>41069</c:v>
                </c:pt>
                <c:pt idx="284">
                  <c:v>41062</c:v>
                </c:pt>
                <c:pt idx="285">
                  <c:v>41055</c:v>
                </c:pt>
                <c:pt idx="286">
                  <c:v>41048</c:v>
                </c:pt>
                <c:pt idx="287">
                  <c:v>41041</c:v>
                </c:pt>
                <c:pt idx="288">
                  <c:v>41034</c:v>
                </c:pt>
                <c:pt idx="289">
                  <c:v>41027</c:v>
                </c:pt>
                <c:pt idx="290">
                  <c:v>41020</c:v>
                </c:pt>
                <c:pt idx="291">
                  <c:v>41013</c:v>
                </c:pt>
                <c:pt idx="292">
                  <c:v>41006</c:v>
                </c:pt>
                <c:pt idx="293">
                  <c:v>40999</c:v>
                </c:pt>
                <c:pt idx="294">
                  <c:v>40992</c:v>
                </c:pt>
                <c:pt idx="295">
                  <c:v>40985</c:v>
                </c:pt>
                <c:pt idx="296">
                  <c:v>40979</c:v>
                </c:pt>
                <c:pt idx="297">
                  <c:v>40972</c:v>
                </c:pt>
                <c:pt idx="298">
                  <c:v>40965</c:v>
                </c:pt>
                <c:pt idx="299">
                  <c:v>40958</c:v>
                </c:pt>
                <c:pt idx="300">
                  <c:v>40951</c:v>
                </c:pt>
                <c:pt idx="301">
                  <c:v>40944</c:v>
                </c:pt>
                <c:pt idx="302">
                  <c:v>40937</c:v>
                </c:pt>
                <c:pt idx="303">
                  <c:v>40930</c:v>
                </c:pt>
                <c:pt idx="304">
                  <c:v>40923</c:v>
                </c:pt>
                <c:pt idx="305">
                  <c:v>40916</c:v>
                </c:pt>
                <c:pt idx="306">
                  <c:v>40909</c:v>
                </c:pt>
              </c:numCache>
            </c:numRef>
          </c:cat>
          <c:val>
            <c:numRef>
              <c:f>Sheet1!$F$5:$F$311</c:f>
              <c:numCache>
                <c:formatCode>General</c:formatCode>
                <c:ptCount val="307"/>
                <c:pt idx="0">
                  <c:v>40.57</c:v>
                </c:pt>
                <c:pt idx="1">
                  <c:v>43.03</c:v>
                </c:pt>
                <c:pt idx="2">
                  <c:v>40.6</c:v>
                </c:pt>
                <c:pt idx="3">
                  <c:v>40.58</c:v>
                </c:pt>
                <c:pt idx="4">
                  <c:v>40.31</c:v>
                </c:pt>
                <c:pt idx="5">
                  <c:v>40.5</c:v>
                </c:pt>
                <c:pt idx="6">
                  <c:v>40.450000000000003</c:v>
                </c:pt>
                <c:pt idx="7">
                  <c:v>38.340000000000003</c:v>
                </c:pt>
                <c:pt idx="8">
                  <c:v>38.06</c:v>
                </c:pt>
                <c:pt idx="9">
                  <c:v>37.64</c:v>
                </c:pt>
                <c:pt idx="10">
                  <c:v>37.049999999999997</c:v>
                </c:pt>
                <c:pt idx="11">
                  <c:v>35.81</c:v>
                </c:pt>
                <c:pt idx="12">
                  <c:v>34.82</c:v>
                </c:pt>
                <c:pt idx="13">
                  <c:v>34.51</c:v>
                </c:pt>
                <c:pt idx="14">
                  <c:v>35.18</c:v>
                </c:pt>
                <c:pt idx="15">
                  <c:v>36.409999999999997</c:v>
                </c:pt>
                <c:pt idx="16">
                  <c:v>35.909999999999997</c:v>
                </c:pt>
                <c:pt idx="17">
                  <c:v>34.5</c:v>
                </c:pt>
                <c:pt idx="18">
                  <c:v>33.99</c:v>
                </c:pt>
                <c:pt idx="19">
                  <c:v>33.909999999999997</c:v>
                </c:pt>
                <c:pt idx="20">
                  <c:v>34.65</c:v>
                </c:pt>
                <c:pt idx="21">
                  <c:v>31.45</c:v>
                </c:pt>
                <c:pt idx="22">
                  <c:v>31.91</c:v>
                </c:pt>
                <c:pt idx="23">
                  <c:v>32.29</c:v>
                </c:pt>
                <c:pt idx="24">
                  <c:v>32.11</c:v>
                </c:pt>
                <c:pt idx="25">
                  <c:v>29.74</c:v>
                </c:pt>
                <c:pt idx="26">
                  <c:v>31.43</c:v>
                </c:pt>
                <c:pt idx="27">
                  <c:v>29.51</c:v>
                </c:pt>
                <c:pt idx="28">
                  <c:v>29.91</c:v>
                </c:pt>
                <c:pt idx="29">
                  <c:v>28.57</c:v>
                </c:pt>
                <c:pt idx="30">
                  <c:v>29.16</c:v>
                </c:pt>
                <c:pt idx="31">
                  <c:v>28.5</c:v>
                </c:pt>
                <c:pt idx="32">
                  <c:v>29.04</c:v>
                </c:pt>
                <c:pt idx="33">
                  <c:v>28.82</c:v>
                </c:pt>
                <c:pt idx="34">
                  <c:v>30.47</c:v>
                </c:pt>
                <c:pt idx="35">
                  <c:v>31.05</c:v>
                </c:pt>
                <c:pt idx="36">
                  <c:v>31.43</c:v>
                </c:pt>
                <c:pt idx="37">
                  <c:v>29.95</c:v>
                </c:pt>
                <c:pt idx="38">
                  <c:v>30.39</c:v>
                </c:pt>
                <c:pt idx="39">
                  <c:v>29.71</c:v>
                </c:pt>
                <c:pt idx="40">
                  <c:v>30.29</c:v>
                </c:pt>
                <c:pt idx="41">
                  <c:v>30.15</c:v>
                </c:pt>
                <c:pt idx="42">
                  <c:v>29.44</c:v>
                </c:pt>
                <c:pt idx="43">
                  <c:v>30.66</c:v>
                </c:pt>
                <c:pt idx="44">
                  <c:v>34.659999999999997</c:v>
                </c:pt>
                <c:pt idx="46">
                  <c:v>32.840000000000003</c:v>
                </c:pt>
                <c:pt idx="47">
                  <c:v>33.590000000000003</c:v>
                </c:pt>
                <c:pt idx="48">
                  <c:v>35.880000000000003</c:v>
                </c:pt>
                <c:pt idx="49">
                  <c:v>32.369999999999997</c:v>
                </c:pt>
                <c:pt idx="50">
                  <c:v>26.27</c:v>
                </c:pt>
                <c:pt idx="51">
                  <c:v>30.14</c:v>
                </c:pt>
                <c:pt idx="52">
                  <c:v>29.42</c:v>
                </c:pt>
                <c:pt idx="53">
                  <c:v>30.9</c:v>
                </c:pt>
                <c:pt idx="54">
                  <c:v>25.32</c:v>
                </c:pt>
                <c:pt idx="55">
                  <c:v>26.9</c:v>
                </c:pt>
                <c:pt idx="56">
                  <c:v>28.14</c:v>
                </c:pt>
                <c:pt idx="57">
                  <c:v>29.24</c:v>
                </c:pt>
                <c:pt idx="58">
                  <c:v>31.19</c:v>
                </c:pt>
                <c:pt idx="59">
                  <c:v>31.53</c:v>
                </c:pt>
                <c:pt idx="60">
                  <c:v>28.36</c:v>
                </c:pt>
                <c:pt idx="61">
                  <c:v>27.49</c:v>
                </c:pt>
                <c:pt idx="62">
                  <c:v>26.71</c:v>
                </c:pt>
                <c:pt idx="63">
                  <c:v>26.9</c:v>
                </c:pt>
                <c:pt idx="64">
                  <c:v>27.59</c:v>
                </c:pt>
                <c:pt idx="65">
                  <c:v>28.01</c:v>
                </c:pt>
                <c:pt idx="66">
                  <c:v>26.87</c:v>
                </c:pt>
                <c:pt idx="67">
                  <c:v>29.78</c:v>
                </c:pt>
                <c:pt idx="68">
                  <c:v>33.39</c:v>
                </c:pt>
                <c:pt idx="69">
                  <c:v>32.340000000000003</c:v>
                </c:pt>
                <c:pt idx="70">
                  <c:v>31.18</c:v>
                </c:pt>
                <c:pt idx="71">
                  <c:v>30.04</c:v>
                </c:pt>
                <c:pt idx="72">
                  <c:v>28.71</c:v>
                </c:pt>
                <c:pt idx="73">
                  <c:v>29.34</c:v>
                </c:pt>
                <c:pt idx="74">
                  <c:v>38.97</c:v>
                </c:pt>
                <c:pt idx="75">
                  <c:v>42.3</c:v>
                </c:pt>
                <c:pt idx="76">
                  <c:v>43.71</c:v>
                </c:pt>
                <c:pt idx="77">
                  <c:v>43.7</c:v>
                </c:pt>
                <c:pt idx="78">
                  <c:v>42.07</c:v>
                </c:pt>
                <c:pt idx="79">
                  <c:v>39.47</c:v>
                </c:pt>
                <c:pt idx="80">
                  <c:v>38.299999999999997</c:v>
                </c:pt>
                <c:pt idx="81">
                  <c:v>38.520000000000003</c:v>
                </c:pt>
                <c:pt idx="82">
                  <c:v>40.58</c:v>
                </c:pt>
                <c:pt idx="83">
                  <c:v>39.6</c:v>
                </c:pt>
                <c:pt idx="84">
                  <c:v>38.950000000000003</c:v>
                </c:pt>
                <c:pt idx="85">
                  <c:v>36.549999999999997</c:v>
                </c:pt>
                <c:pt idx="86">
                  <c:v>33.75</c:v>
                </c:pt>
                <c:pt idx="87">
                  <c:v>32.18</c:v>
                </c:pt>
                <c:pt idx="88">
                  <c:v>34</c:v>
                </c:pt>
                <c:pt idx="89">
                  <c:v>35.409999999999997</c:v>
                </c:pt>
                <c:pt idx="90">
                  <c:v>35.94</c:v>
                </c:pt>
                <c:pt idx="91">
                  <c:v>37.69</c:v>
                </c:pt>
                <c:pt idx="92">
                  <c:v>35.880000000000003</c:v>
                </c:pt>
                <c:pt idx="93">
                  <c:v>35.78</c:v>
                </c:pt>
                <c:pt idx="94">
                  <c:v>36.6</c:v>
                </c:pt>
                <c:pt idx="95">
                  <c:v>36.159999999999997</c:v>
                </c:pt>
                <c:pt idx="96">
                  <c:v>34.630000000000003</c:v>
                </c:pt>
                <c:pt idx="97">
                  <c:v>35.26</c:v>
                </c:pt>
                <c:pt idx="98">
                  <c:v>40.01</c:v>
                </c:pt>
                <c:pt idx="99">
                  <c:v>39.33</c:v>
                </c:pt>
                <c:pt idx="100">
                  <c:v>38.299999999999997</c:v>
                </c:pt>
                <c:pt idx="101">
                  <c:v>36</c:v>
                </c:pt>
                <c:pt idx="102">
                  <c:v>37.74</c:v>
                </c:pt>
                <c:pt idx="103">
                  <c:v>38.619999999999997</c:v>
                </c:pt>
                <c:pt idx="104">
                  <c:v>37.369999999999997</c:v>
                </c:pt>
                <c:pt idx="105">
                  <c:v>36.549999999999997</c:v>
                </c:pt>
                <c:pt idx="106">
                  <c:v>34.85</c:v>
                </c:pt>
                <c:pt idx="107">
                  <c:v>32.15</c:v>
                </c:pt>
                <c:pt idx="108">
                  <c:v>30.14</c:v>
                </c:pt>
                <c:pt idx="109">
                  <c:v>30.96</c:v>
                </c:pt>
                <c:pt idx="110">
                  <c:v>30.49</c:v>
                </c:pt>
                <c:pt idx="111">
                  <c:v>28.86</c:v>
                </c:pt>
                <c:pt idx="112">
                  <c:v>29.43</c:v>
                </c:pt>
                <c:pt idx="113">
                  <c:v>32.17</c:v>
                </c:pt>
                <c:pt idx="114">
                  <c:v>32.58</c:v>
                </c:pt>
                <c:pt idx="115">
                  <c:v>32.49</c:v>
                </c:pt>
                <c:pt idx="116">
                  <c:v>34.64</c:v>
                </c:pt>
                <c:pt idx="117">
                  <c:v>33.479999999999997</c:v>
                </c:pt>
                <c:pt idx="118">
                  <c:v>34.159999999999997</c:v>
                </c:pt>
                <c:pt idx="119">
                  <c:v>34.43</c:v>
                </c:pt>
                <c:pt idx="120">
                  <c:v>32.83</c:v>
                </c:pt>
                <c:pt idx="121">
                  <c:v>32.81</c:v>
                </c:pt>
                <c:pt idx="122">
                  <c:v>34.44</c:v>
                </c:pt>
                <c:pt idx="123">
                  <c:v>33.85</c:v>
                </c:pt>
                <c:pt idx="124">
                  <c:v>32.36</c:v>
                </c:pt>
                <c:pt idx="125">
                  <c:v>33.590000000000003</c:v>
                </c:pt>
                <c:pt idx="126">
                  <c:v>32.770000000000003</c:v>
                </c:pt>
                <c:pt idx="127">
                  <c:v>31.84</c:v>
                </c:pt>
                <c:pt idx="128">
                  <c:v>32.159999999999997</c:v>
                </c:pt>
                <c:pt idx="129">
                  <c:v>31.86</c:v>
                </c:pt>
                <c:pt idx="130">
                  <c:v>30.8</c:v>
                </c:pt>
                <c:pt idx="131">
                  <c:v>30.72</c:v>
                </c:pt>
                <c:pt idx="132">
                  <c:v>30.29</c:v>
                </c:pt>
                <c:pt idx="133">
                  <c:v>30.74</c:v>
                </c:pt>
                <c:pt idx="134">
                  <c:v>30.61</c:v>
                </c:pt>
                <c:pt idx="135">
                  <c:v>29.49</c:v>
                </c:pt>
                <c:pt idx="136">
                  <c:v>29.27</c:v>
                </c:pt>
                <c:pt idx="137">
                  <c:v>29.32</c:v>
                </c:pt>
                <c:pt idx="138">
                  <c:v>28.52</c:v>
                </c:pt>
                <c:pt idx="139">
                  <c:v>29.7</c:v>
                </c:pt>
                <c:pt idx="140">
                  <c:v>29.21</c:v>
                </c:pt>
                <c:pt idx="141">
                  <c:v>28.42</c:v>
                </c:pt>
                <c:pt idx="142">
                  <c:v>29.97</c:v>
                </c:pt>
                <c:pt idx="143">
                  <c:v>29.98</c:v>
                </c:pt>
                <c:pt idx="144">
                  <c:v>28.76</c:v>
                </c:pt>
                <c:pt idx="145">
                  <c:v>27.77</c:v>
                </c:pt>
                <c:pt idx="146">
                  <c:v>28.03</c:v>
                </c:pt>
                <c:pt idx="147">
                  <c:v>28.39</c:v>
                </c:pt>
                <c:pt idx="148">
                  <c:v>28.17</c:v>
                </c:pt>
                <c:pt idx="149">
                  <c:v>27.6</c:v>
                </c:pt>
                <c:pt idx="150">
                  <c:v>26.9</c:v>
                </c:pt>
                <c:pt idx="151">
                  <c:v>27.93</c:v>
                </c:pt>
                <c:pt idx="152">
                  <c:v>27.05</c:v>
                </c:pt>
                <c:pt idx="153">
                  <c:v>26.04</c:v>
                </c:pt>
                <c:pt idx="154">
                  <c:v>25.81</c:v>
                </c:pt>
                <c:pt idx="155">
                  <c:v>24.86</c:v>
                </c:pt>
                <c:pt idx="156">
                  <c:v>24.56</c:v>
                </c:pt>
                <c:pt idx="157">
                  <c:v>24.22</c:v>
                </c:pt>
                <c:pt idx="158">
                  <c:v>23.95</c:v>
                </c:pt>
                <c:pt idx="159">
                  <c:v>22.62</c:v>
                </c:pt>
                <c:pt idx="160">
                  <c:v>21.45</c:v>
                </c:pt>
                <c:pt idx="161">
                  <c:v>22.48</c:v>
                </c:pt>
                <c:pt idx="162">
                  <c:v>19.95</c:v>
                </c:pt>
                <c:pt idx="163">
                  <c:v>21.65</c:v>
                </c:pt>
                <c:pt idx="164">
                  <c:v>21.83</c:v>
                </c:pt>
                <c:pt idx="165">
                  <c:v>21.8</c:v>
                </c:pt>
                <c:pt idx="166">
                  <c:v>22.25</c:v>
                </c:pt>
                <c:pt idx="167">
                  <c:v>22.93</c:v>
                </c:pt>
                <c:pt idx="168">
                  <c:v>24.9</c:v>
                </c:pt>
                <c:pt idx="169">
                  <c:v>23.75</c:v>
                </c:pt>
                <c:pt idx="170">
                  <c:v>22.97</c:v>
                </c:pt>
                <c:pt idx="171">
                  <c:v>22.47</c:v>
                </c:pt>
                <c:pt idx="172">
                  <c:v>22.03</c:v>
                </c:pt>
                <c:pt idx="173">
                  <c:v>22.81</c:v>
                </c:pt>
                <c:pt idx="174">
                  <c:v>22.58</c:v>
                </c:pt>
                <c:pt idx="175">
                  <c:v>22.97</c:v>
                </c:pt>
                <c:pt idx="176">
                  <c:v>23.55</c:v>
                </c:pt>
                <c:pt idx="177">
                  <c:v>22.56</c:v>
                </c:pt>
                <c:pt idx="178">
                  <c:v>22.76</c:v>
                </c:pt>
                <c:pt idx="179">
                  <c:v>22.52</c:v>
                </c:pt>
                <c:pt idx="180">
                  <c:v>22</c:v>
                </c:pt>
                <c:pt idx="181">
                  <c:v>21.69</c:v>
                </c:pt>
                <c:pt idx="182">
                  <c:v>21.1</c:v>
                </c:pt>
                <c:pt idx="183">
                  <c:v>20.77</c:v>
                </c:pt>
                <c:pt idx="184">
                  <c:v>22.73</c:v>
                </c:pt>
                <c:pt idx="185">
                  <c:v>26.17</c:v>
                </c:pt>
                <c:pt idx="186">
                  <c:v>24.83</c:v>
                </c:pt>
                <c:pt idx="187">
                  <c:v>25.44</c:v>
                </c:pt>
                <c:pt idx="188">
                  <c:v>23.2</c:v>
                </c:pt>
                <c:pt idx="189">
                  <c:v>23.66</c:v>
                </c:pt>
                <c:pt idx="190">
                  <c:v>24.35</c:v>
                </c:pt>
                <c:pt idx="191">
                  <c:v>26.42</c:v>
                </c:pt>
                <c:pt idx="192">
                  <c:v>27.04</c:v>
                </c:pt>
                <c:pt idx="193">
                  <c:v>27.77</c:v>
                </c:pt>
                <c:pt idx="194">
                  <c:v>24.74</c:v>
                </c:pt>
                <c:pt idx="195">
                  <c:v>25.55</c:v>
                </c:pt>
                <c:pt idx="196">
                  <c:v>24.7</c:v>
                </c:pt>
                <c:pt idx="197">
                  <c:v>24</c:v>
                </c:pt>
                <c:pt idx="198">
                  <c:v>23.93</c:v>
                </c:pt>
                <c:pt idx="199">
                  <c:v>22.85</c:v>
                </c:pt>
                <c:pt idx="200">
                  <c:v>26.14</c:v>
                </c:pt>
                <c:pt idx="201">
                  <c:v>24.93</c:v>
                </c:pt>
                <c:pt idx="202">
                  <c:v>24.23</c:v>
                </c:pt>
                <c:pt idx="203">
                  <c:v>23.48</c:v>
                </c:pt>
                <c:pt idx="204">
                  <c:v>23.44</c:v>
                </c:pt>
                <c:pt idx="205">
                  <c:v>22.94</c:v>
                </c:pt>
                <c:pt idx="206">
                  <c:v>22.71</c:v>
                </c:pt>
                <c:pt idx="207">
                  <c:v>22.45</c:v>
                </c:pt>
                <c:pt idx="208">
                  <c:v>21.53</c:v>
                </c:pt>
                <c:pt idx="209">
                  <c:v>21.03</c:v>
                </c:pt>
                <c:pt idx="210">
                  <c:v>20.79</c:v>
                </c:pt>
                <c:pt idx="211">
                  <c:v>19.579999999999998</c:v>
                </c:pt>
                <c:pt idx="212">
                  <c:v>19.510000000000002</c:v>
                </c:pt>
                <c:pt idx="213">
                  <c:v>19.23</c:v>
                </c:pt>
                <c:pt idx="214">
                  <c:v>18.71</c:v>
                </c:pt>
                <c:pt idx="215">
                  <c:v>18.48</c:v>
                </c:pt>
                <c:pt idx="216">
                  <c:v>19.07</c:v>
                </c:pt>
                <c:pt idx="217">
                  <c:v>19.149999999999999</c:v>
                </c:pt>
                <c:pt idx="218">
                  <c:v>18.850000000000001</c:v>
                </c:pt>
                <c:pt idx="219">
                  <c:v>18.12</c:v>
                </c:pt>
                <c:pt idx="220">
                  <c:v>17.579999999999998</c:v>
                </c:pt>
                <c:pt idx="221">
                  <c:v>17.940000000000001</c:v>
                </c:pt>
                <c:pt idx="222">
                  <c:v>17.510000000000002</c:v>
                </c:pt>
                <c:pt idx="223">
                  <c:v>18.600000000000001</c:v>
                </c:pt>
                <c:pt idx="224">
                  <c:v>17.899999999999999</c:v>
                </c:pt>
                <c:pt idx="225">
                  <c:v>17.440000000000001</c:v>
                </c:pt>
                <c:pt idx="226">
                  <c:v>17.829999999999998</c:v>
                </c:pt>
                <c:pt idx="227">
                  <c:v>17.05</c:v>
                </c:pt>
                <c:pt idx="228">
                  <c:v>15.38</c:v>
                </c:pt>
                <c:pt idx="229">
                  <c:v>14.42</c:v>
                </c:pt>
                <c:pt idx="230">
                  <c:v>14.56</c:v>
                </c:pt>
                <c:pt idx="231">
                  <c:v>15.16</c:v>
                </c:pt>
                <c:pt idx="232">
                  <c:v>15</c:v>
                </c:pt>
                <c:pt idx="233">
                  <c:v>14.2</c:v>
                </c:pt>
                <c:pt idx="234">
                  <c:v>14.16</c:v>
                </c:pt>
                <c:pt idx="235">
                  <c:v>14.56</c:v>
                </c:pt>
                <c:pt idx="236">
                  <c:v>14.4</c:v>
                </c:pt>
                <c:pt idx="237">
                  <c:v>14</c:v>
                </c:pt>
                <c:pt idx="238">
                  <c:v>15.64</c:v>
                </c:pt>
                <c:pt idx="239">
                  <c:v>15.14</c:v>
                </c:pt>
                <c:pt idx="240">
                  <c:v>14.8</c:v>
                </c:pt>
                <c:pt idx="241">
                  <c:v>13.2</c:v>
                </c:pt>
                <c:pt idx="242">
                  <c:v>13.98</c:v>
                </c:pt>
                <c:pt idx="243">
                  <c:v>14.37</c:v>
                </c:pt>
                <c:pt idx="244">
                  <c:v>14.97</c:v>
                </c:pt>
                <c:pt idx="245">
                  <c:v>15.49</c:v>
                </c:pt>
                <c:pt idx="246">
                  <c:v>15.6</c:v>
                </c:pt>
                <c:pt idx="247">
                  <c:v>15.72</c:v>
                </c:pt>
                <c:pt idx="248">
                  <c:v>15.6</c:v>
                </c:pt>
                <c:pt idx="249">
                  <c:v>15.7</c:v>
                </c:pt>
                <c:pt idx="250">
                  <c:v>16.3</c:v>
                </c:pt>
                <c:pt idx="251">
                  <c:v>16.53</c:v>
                </c:pt>
                <c:pt idx="252">
                  <c:v>16.45</c:v>
                </c:pt>
                <c:pt idx="253">
                  <c:v>16.77</c:v>
                </c:pt>
                <c:pt idx="254">
                  <c:v>16.84</c:v>
                </c:pt>
                <c:pt idx="255">
                  <c:v>15.83</c:v>
                </c:pt>
                <c:pt idx="256">
                  <c:v>16.09</c:v>
                </c:pt>
                <c:pt idx="257">
                  <c:v>15</c:v>
                </c:pt>
                <c:pt idx="258">
                  <c:v>15.27</c:v>
                </c:pt>
                <c:pt idx="259">
                  <c:v>15.02</c:v>
                </c:pt>
                <c:pt idx="260">
                  <c:v>14.96</c:v>
                </c:pt>
                <c:pt idx="261">
                  <c:v>14.15</c:v>
                </c:pt>
                <c:pt idx="262">
                  <c:v>14.23</c:v>
                </c:pt>
                <c:pt idx="263">
                  <c:v>14.41</c:v>
                </c:pt>
                <c:pt idx="264">
                  <c:v>13.49</c:v>
                </c:pt>
                <c:pt idx="265">
                  <c:v>13.16</c:v>
                </c:pt>
                <c:pt idx="266">
                  <c:v>14</c:v>
                </c:pt>
                <c:pt idx="267">
                  <c:v>14.91</c:v>
                </c:pt>
                <c:pt idx="268">
                  <c:v>14.21</c:v>
                </c:pt>
                <c:pt idx="269">
                  <c:v>14.83</c:v>
                </c:pt>
                <c:pt idx="270">
                  <c:v>14.88</c:v>
                </c:pt>
                <c:pt idx="271">
                  <c:v>15.02</c:v>
                </c:pt>
                <c:pt idx="272">
                  <c:v>14.73</c:v>
                </c:pt>
                <c:pt idx="273">
                  <c:v>14.85</c:v>
                </c:pt>
                <c:pt idx="274">
                  <c:v>15.5</c:v>
                </c:pt>
                <c:pt idx="275">
                  <c:v>14.79</c:v>
                </c:pt>
                <c:pt idx="276">
                  <c:v>14.37</c:v>
                </c:pt>
                <c:pt idx="277">
                  <c:v>14.48</c:v>
                </c:pt>
                <c:pt idx="278">
                  <c:v>14.23</c:v>
                </c:pt>
                <c:pt idx="279">
                  <c:v>14.92</c:v>
                </c:pt>
                <c:pt idx="280">
                  <c:v>15.02</c:v>
                </c:pt>
                <c:pt idx="281">
                  <c:v>15.15</c:v>
                </c:pt>
                <c:pt idx="282">
                  <c:v>15.3</c:v>
                </c:pt>
                <c:pt idx="283">
                  <c:v>13.64</c:v>
                </c:pt>
                <c:pt idx="284">
                  <c:v>13.97</c:v>
                </c:pt>
                <c:pt idx="285">
                  <c:v>14.08</c:v>
                </c:pt>
                <c:pt idx="286">
                  <c:v>13.7</c:v>
                </c:pt>
                <c:pt idx="287">
                  <c:v>13.91</c:v>
                </c:pt>
                <c:pt idx="288">
                  <c:v>15.15</c:v>
                </c:pt>
                <c:pt idx="289">
                  <c:v>14.32</c:v>
                </c:pt>
                <c:pt idx="290">
                  <c:v>14.46</c:v>
                </c:pt>
                <c:pt idx="291">
                  <c:v>14.3</c:v>
                </c:pt>
                <c:pt idx="292">
                  <c:v>14.24</c:v>
                </c:pt>
                <c:pt idx="293">
                  <c:v>15.74</c:v>
                </c:pt>
                <c:pt idx="294">
                  <c:v>16</c:v>
                </c:pt>
                <c:pt idx="295">
                  <c:v>15.58</c:v>
                </c:pt>
                <c:pt idx="296">
                  <c:v>15.5</c:v>
                </c:pt>
                <c:pt idx="297">
                  <c:v>16</c:v>
                </c:pt>
                <c:pt idx="298">
                  <c:v>14.89</c:v>
                </c:pt>
                <c:pt idx="299">
                  <c:v>16</c:v>
                </c:pt>
                <c:pt idx="300">
                  <c:v>16.66</c:v>
                </c:pt>
                <c:pt idx="301">
                  <c:v>17.350000000000001</c:v>
                </c:pt>
                <c:pt idx="302">
                  <c:v>18.27</c:v>
                </c:pt>
                <c:pt idx="303">
                  <c:v>17.38</c:v>
                </c:pt>
                <c:pt idx="304">
                  <c:v>17.14</c:v>
                </c:pt>
                <c:pt idx="305">
                  <c:v>17.440000000000001</c:v>
                </c:pt>
                <c:pt idx="306">
                  <c:v>17.02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AF-4772-8C6C-DA856F6B0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1261560"/>
        <c:axId val="481260904"/>
      </c:lineChart>
      <c:lineChart>
        <c:grouping val="standard"/>
        <c:varyColors val="0"/>
        <c:ser>
          <c:idx val="1"/>
          <c:order val="1"/>
          <c:tx>
            <c:v>S&amp;P500TR (RHS)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Sheet1!$A$5:$A$311</c:f>
              <c:numCache>
                <c:formatCode>d\-mmm\-yy</c:formatCode>
                <c:ptCount val="307"/>
                <c:pt idx="0">
                  <c:v>43043</c:v>
                </c:pt>
                <c:pt idx="1">
                  <c:v>43036</c:v>
                </c:pt>
                <c:pt idx="2">
                  <c:v>43029</c:v>
                </c:pt>
                <c:pt idx="3">
                  <c:v>43022</c:v>
                </c:pt>
                <c:pt idx="4">
                  <c:v>43015</c:v>
                </c:pt>
                <c:pt idx="5">
                  <c:v>43008</c:v>
                </c:pt>
                <c:pt idx="6">
                  <c:v>43001</c:v>
                </c:pt>
                <c:pt idx="7">
                  <c:v>42994</c:v>
                </c:pt>
                <c:pt idx="8">
                  <c:v>42987</c:v>
                </c:pt>
                <c:pt idx="9">
                  <c:v>42980</c:v>
                </c:pt>
                <c:pt idx="10">
                  <c:v>42973</c:v>
                </c:pt>
                <c:pt idx="11">
                  <c:v>42966</c:v>
                </c:pt>
                <c:pt idx="12">
                  <c:v>42959</c:v>
                </c:pt>
                <c:pt idx="13">
                  <c:v>42952</c:v>
                </c:pt>
                <c:pt idx="14">
                  <c:v>42945</c:v>
                </c:pt>
                <c:pt idx="15">
                  <c:v>42938</c:v>
                </c:pt>
                <c:pt idx="16">
                  <c:v>42931</c:v>
                </c:pt>
                <c:pt idx="17">
                  <c:v>42924</c:v>
                </c:pt>
                <c:pt idx="18">
                  <c:v>42917</c:v>
                </c:pt>
                <c:pt idx="19">
                  <c:v>42910</c:v>
                </c:pt>
                <c:pt idx="20">
                  <c:v>42903</c:v>
                </c:pt>
                <c:pt idx="21">
                  <c:v>42896</c:v>
                </c:pt>
                <c:pt idx="22">
                  <c:v>42889</c:v>
                </c:pt>
                <c:pt idx="23">
                  <c:v>42882</c:v>
                </c:pt>
                <c:pt idx="24">
                  <c:v>42875</c:v>
                </c:pt>
                <c:pt idx="25">
                  <c:v>42868</c:v>
                </c:pt>
                <c:pt idx="26">
                  <c:v>42861</c:v>
                </c:pt>
                <c:pt idx="27">
                  <c:v>42854</c:v>
                </c:pt>
                <c:pt idx="28">
                  <c:v>42847</c:v>
                </c:pt>
                <c:pt idx="29">
                  <c:v>42840</c:v>
                </c:pt>
                <c:pt idx="30">
                  <c:v>42833</c:v>
                </c:pt>
                <c:pt idx="31">
                  <c:v>42826</c:v>
                </c:pt>
                <c:pt idx="32">
                  <c:v>42819</c:v>
                </c:pt>
                <c:pt idx="33">
                  <c:v>42812</c:v>
                </c:pt>
                <c:pt idx="34">
                  <c:v>42806</c:v>
                </c:pt>
                <c:pt idx="35">
                  <c:v>42799</c:v>
                </c:pt>
                <c:pt idx="36">
                  <c:v>42792</c:v>
                </c:pt>
                <c:pt idx="37">
                  <c:v>42785</c:v>
                </c:pt>
                <c:pt idx="38">
                  <c:v>42778</c:v>
                </c:pt>
                <c:pt idx="39">
                  <c:v>42771</c:v>
                </c:pt>
                <c:pt idx="40">
                  <c:v>42764</c:v>
                </c:pt>
                <c:pt idx="41">
                  <c:v>42757</c:v>
                </c:pt>
                <c:pt idx="42">
                  <c:v>42750</c:v>
                </c:pt>
                <c:pt idx="43">
                  <c:v>42743</c:v>
                </c:pt>
                <c:pt idx="44">
                  <c:v>42736</c:v>
                </c:pt>
                <c:pt idx="46">
                  <c:v>42729</c:v>
                </c:pt>
                <c:pt idx="47">
                  <c:v>42722</c:v>
                </c:pt>
                <c:pt idx="48">
                  <c:v>42715</c:v>
                </c:pt>
                <c:pt idx="49">
                  <c:v>42708</c:v>
                </c:pt>
                <c:pt idx="50">
                  <c:v>42701</c:v>
                </c:pt>
                <c:pt idx="51">
                  <c:v>42694</c:v>
                </c:pt>
                <c:pt idx="52">
                  <c:v>42687</c:v>
                </c:pt>
                <c:pt idx="53">
                  <c:v>42679</c:v>
                </c:pt>
                <c:pt idx="54">
                  <c:v>42672</c:v>
                </c:pt>
                <c:pt idx="55">
                  <c:v>42665</c:v>
                </c:pt>
                <c:pt idx="56">
                  <c:v>42658</c:v>
                </c:pt>
                <c:pt idx="57">
                  <c:v>42651</c:v>
                </c:pt>
                <c:pt idx="58">
                  <c:v>42644</c:v>
                </c:pt>
                <c:pt idx="59">
                  <c:v>42637</c:v>
                </c:pt>
                <c:pt idx="60">
                  <c:v>42630</c:v>
                </c:pt>
                <c:pt idx="61">
                  <c:v>42623</c:v>
                </c:pt>
                <c:pt idx="62">
                  <c:v>42616</c:v>
                </c:pt>
                <c:pt idx="63">
                  <c:v>42609</c:v>
                </c:pt>
                <c:pt idx="64">
                  <c:v>42602</c:v>
                </c:pt>
                <c:pt idx="65">
                  <c:v>42595</c:v>
                </c:pt>
                <c:pt idx="66">
                  <c:v>42588</c:v>
                </c:pt>
                <c:pt idx="67">
                  <c:v>42581</c:v>
                </c:pt>
                <c:pt idx="68">
                  <c:v>42574</c:v>
                </c:pt>
                <c:pt idx="69">
                  <c:v>42567</c:v>
                </c:pt>
                <c:pt idx="70">
                  <c:v>42560</c:v>
                </c:pt>
                <c:pt idx="71">
                  <c:v>42553</c:v>
                </c:pt>
                <c:pt idx="72">
                  <c:v>42546</c:v>
                </c:pt>
                <c:pt idx="73">
                  <c:v>42539</c:v>
                </c:pt>
                <c:pt idx="74">
                  <c:v>42532</c:v>
                </c:pt>
                <c:pt idx="75">
                  <c:v>42525</c:v>
                </c:pt>
                <c:pt idx="76">
                  <c:v>42518</c:v>
                </c:pt>
                <c:pt idx="77">
                  <c:v>42511</c:v>
                </c:pt>
                <c:pt idx="78">
                  <c:v>42504</c:v>
                </c:pt>
                <c:pt idx="79">
                  <c:v>42497</c:v>
                </c:pt>
                <c:pt idx="80">
                  <c:v>42490</c:v>
                </c:pt>
                <c:pt idx="81">
                  <c:v>42483</c:v>
                </c:pt>
                <c:pt idx="82">
                  <c:v>42476</c:v>
                </c:pt>
                <c:pt idx="83">
                  <c:v>42469</c:v>
                </c:pt>
                <c:pt idx="84">
                  <c:v>42462</c:v>
                </c:pt>
                <c:pt idx="85">
                  <c:v>42455</c:v>
                </c:pt>
                <c:pt idx="86">
                  <c:v>42448</c:v>
                </c:pt>
                <c:pt idx="87">
                  <c:v>42442</c:v>
                </c:pt>
                <c:pt idx="88">
                  <c:v>42435</c:v>
                </c:pt>
                <c:pt idx="89">
                  <c:v>42428</c:v>
                </c:pt>
                <c:pt idx="90">
                  <c:v>42421</c:v>
                </c:pt>
                <c:pt idx="91">
                  <c:v>42414</c:v>
                </c:pt>
                <c:pt idx="92">
                  <c:v>42407</c:v>
                </c:pt>
                <c:pt idx="93">
                  <c:v>42400</c:v>
                </c:pt>
                <c:pt idx="94">
                  <c:v>42393</c:v>
                </c:pt>
                <c:pt idx="95">
                  <c:v>42386</c:v>
                </c:pt>
                <c:pt idx="96">
                  <c:v>42379</c:v>
                </c:pt>
                <c:pt idx="97">
                  <c:v>42372</c:v>
                </c:pt>
                <c:pt idx="98">
                  <c:v>42365</c:v>
                </c:pt>
                <c:pt idx="99">
                  <c:v>42358</c:v>
                </c:pt>
                <c:pt idx="100">
                  <c:v>42351</c:v>
                </c:pt>
                <c:pt idx="101">
                  <c:v>42344</c:v>
                </c:pt>
                <c:pt idx="102">
                  <c:v>42337</c:v>
                </c:pt>
                <c:pt idx="103">
                  <c:v>42330</c:v>
                </c:pt>
                <c:pt idx="104">
                  <c:v>42323</c:v>
                </c:pt>
                <c:pt idx="105">
                  <c:v>42316</c:v>
                </c:pt>
                <c:pt idx="106">
                  <c:v>42308</c:v>
                </c:pt>
                <c:pt idx="107">
                  <c:v>42301</c:v>
                </c:pt>
                <c:pt idx="108">
                  <c:v>42294</c:v>
                </c:pt>
                <c:pt idx="109">
                  <c:v>42287</c:v>
                </c:pt>
                <c:pt idx="110">
                  <c:v>42280</c:v>
                </c:pt>
                <c:pt idx="111">
                  <c:v>42273</c:v>
                </c:pt>
                <c:pt idx="112">
                  <c:v>42266</c:v>
                </c:pt>
                <c:pt idx="113">
                  <c:v>42259</c:v>
                </c:pt>
                <c:pt idx="114">
                  <c:v>42252</c:v>
                </c:pt>
                <c:pt idx="115">
                  <c:v>42245</c:v>
                </c:pt>
                <c:pt idx="116">
                  <c:v>42238</c:v>
                </c:pt>
                <c:pt idx="117">
                  <c:v>42231</c:v>
                </c:pt>
                <c:pt idx="118">
                  <c:v>42224</c:v>
                </c:pt>
                <c:pt idx="119">
                  <c:v>42217</c:v>
                </c:pt>
                <c:pt idx="120">
                  <c:v>42210</c:v>
                </c:pt>
                <c:pt idx="121">
                  <c:v>42203</c:v>
                </c:pt>
                <c:pt idx="122">
                  <c:v>42196</c:v>
                </c:pt>
                <c:pt idx="123">
                  <c:v>42189</c:v>
                </c:pt>
                <c:pt idx="124">
                  <c:v>42182</c:v>
                </c:pt>
                <c:pt idx="125">
                  <c:v>42175</c:v>
                </c:pt>
                <c:pt idx="126">
                  <c:v>42168</c:v>
                </c:pt>
                <c:pt idx="127">
                  <c:v>42161</c:v>
                </c:pt>
                <c:pt idx="128">
                  <c:v>42154</c:v>
                </c:pt>
                <c:pt idx="129">
                  <c:v>42147</c:v>
                </c:pt>
                <c:pt idx="130">
                  <c:v>42140</c:v>
                </c:pt>
                <c:pt idx="131">
                  <c:v>42133</c:v>
                </c:pt>
                <c:pt idx="132">
                  <c:v>42126</c:v>
                </c:pt>
                <c:pt idx="133">
                  <c:v>42119</c:v>
                </c:pt>
                <c:pt idx="134">
                  <c:v>42112</c:v>
                </c:pt>
                <c:pt idx="135">
                  <c:v>42105</c:v>
                </c:pt>
                <c:pt idx="136">
                  <c:v>42098</c:v>
                </c:pt>
                <c:pt idx="137">
                  <c:v>42091</c:v>
                </c:pt>
                <c:pt idx="138">
                  <c:v>42084</c:v>
                </c:pt>
                <c:pt idx="139">
                  <c:v>42077</c:v>
                </c:pt>
                <c:pt idx="140">
                  <c:v>42071</c:v>
                </c:pt>
                <c:pt idx="141">
                  <c:v>42064</c:v>
                </c:pt>
                <c:pt idx="142">
                  <c:v>42057</c:v>
                </c:pt>
                <c:pt idx="143">
                  <c:v>42050</c:v>
                </c:pt>
                <c:pt idx="144">
                  <c:v>42043</c:v>
                </c:pt>
                <c:pt idx="145">
                  <c:v>42036</c:v>
                </c:pt>
                <c:pt idx="146">
                  <c:v>42029</c:v>
                </c:pt>
                <c:pt idx="147">
                  <c:v>42022</c:v>
                </c:pt>
                <c:pt idx="148">
                  <c:v>42015</c:v>
                </c:pt>
                <c:pt idx="149">
                  <c:v>42008</c:v>
                </c:pt>
                <c:pt idx="150">
                  <c:v>42001</c:v>
                </c:pt>
                <c:pt idx="151">
                  <c:v>41994</c:v>
                </c:pt>
                <c:pt idx="152">
                  <c:v>41987</c:v>
                </c:pt>
                <c:pt idx="153">
                  <c:v>41980</c:v>
                </c:pt>
                <c:pt idx="154">
                  <c:v>41973</c:v>
                </c:pt>
                <c:pt idx="155">
                  <c:v>41966</c:v>
                </c:pt>
                <c:pt idx="156">
                  <c:v>41959</c:v>
                </c:pt>
                <c:pt idx="157">
                  <c:v>41952</c:v>
                </c:pt>
                <c:pt idx="158">
                  <c:v>41944</c:v>
                </c:pt>
                <c:pt idx="159">
                  <c:v>41937</c:v>
                </c:pt>
                <c:pt idx="160">
                  <c:v>41930</c:v>
                </c:pt>
                <c:pt idx="161">
                  <c:v>41923</c:v>
                </c:pt>
                <c:pt idx="162">
                  <c:v>41916</c:v>
                </c:pt>
                <c:pt idx="163">
                  <c:v>41909</c:v>
                </c:pt>
                <c:pt idx="164">
                  <c:v>41902</c:v>
                </c:pt>
                <c:pt idx="165">
                  <c:v>41895</c:v>
                </c:pt>
                <c:pt idx="166">
                  <c:v>41888</c:v>
                </c:pt>
                <c:pt idx="167">
                  <c:v>41881</c:v>
                </c:pt>
                <c:pt idx="168">
                  <c:v>41874</c:v>
                </c:pt>
                <c:pt idx="169">
                  <c:v>41867</c:v>
                </c:pt>
                <c:pt idx="170">
                  <c:v>41860</c:v>
                </c:pt>
                <c:pt idx="171">
                  <c:v>41853</c:v>
                </c:pt>
                <c:pt idx="172">
                  <c:v>41846</c:v>
                </c:pt>
                <c:pt idx="173">
                  <c:v>41839</c:v>
                </c:pt>
                <c:pt idx="174">
                  <c:v>41832</c:v>
                </c:pt>
                <c:pt idx="175">
                  <c:v>41825</c:v>
                </c:pt>
                <c:pt idx="176">
                  <c:v>41818</c:v>
                </c:pt>
                <c:pt idx="177">
                  <c:v>41811</c:v>
                </c:pt>
                <c:pt idx="178">
                  <c:v>41804</c:v>
                </c:pt>
                <c:pt idx="179">
                  <c:v>41797</c:v>
                </c:pt>
                <c:pt idx="180">
                  <c:v>41790</c:v>
                </c:pt>
                <c:pt idx="181">
                  <c:v>41783</c:v>
                </c:pt>
                <c:pt idx="182">
                  <c:v>41776</c:v>
                </c:pt>
                <c:pt idx="183">
                  <c:v>41769</c:v>
                </c:pt>
                <c:pt idx="184">
                  <c:v>41762</c:v>
                </c:pt>
                <c:pt idx="185">
                  <c:v>41755</c:v>
                </c:pt>
                <c:pt idx="186">
                  <c:v>41748</c:v>
                </c:pt>
                <c:pt idx="187">
                  <c:v>41741</c:v>
                </c:pt>
                <c:pt idx="188">
                  <c:v>41734</c:v>
                </c:pt>
                <c:pt idx="189">
                  <c:v>41727</c:v>
                </c:pt>
                <c:pt idx="190">
                  <c:v>41720</c:v>
                </c:pt>
                <c:pt idx="191">
                  <c:v>41713</c:v>
                </c:pt>
                <c:pt idx="192">
                  <c:v>41707</c:v>
                </c:pt>
                <c:pt idx="193">
                  <c:v>41700</c:v>
                </c:pt>
                <c:pt idx="194">
                  <c:v>41693</c:v>
                </c:pt>
                <c:pt idx="195">
                  <c:v>41686</c:v>
                </c:pt>
                <c:pt idx="196">
                  <c:v>41679</c:v>
                </c:pt>
                <c:pt idx="197">
                  <c:v>41672</c:v>
                </c:pt>
                <c:pt idx="198">
                  <c:v>41665</c:v>
                </c:pt>
                <c:pt idx="199">
                  <c:v>41658</c:v>
                </c:pt>
                <c:pt idx="200">
                  <c:v>41651</c:v>
                </c:pt>
                <c:pt idx="201">
                  <c:v>41644</c:v>
                </c:pt>
                <c:pt idx="202">
                  <c:v>41637</c:v>
                </c:pt>
                <c:pt idx="203">
                  <c:v>41630</c:v>
                </c:pt>
                <c:pt idx="204">
                  <c:v>41623</c:v>
                </c:pt>
                <c:pt idx="205">
                  <c:v>41616</c:v>
                </c:pt>
                <c:pt idx="206">
                  <c:v>41609</c:v>
                </c:pt>
                <c:pt idx="207">
                  <c:v>41602</c:v>
                </c:pt>
                <c:pt idx="208">
                  <c:v>41595</c:v>
                </c:pt>
                <c:pt idx="209">
                  <c:v>41588</c:v>
                </c:pt>
                <c:pt idx="210">
                  <c:v>41580</c:v>
                </c:pt>
                <c:pt idx="211">
                  <c:v>41573</c:v>
                </c:pt>
                <c:pt idx="212">
                  <c:v>41566</c:v>
                </c:pt>
                <c:pt idx="213">
                  <c:v>41559</c:v>
                </c:pt>
                <c:pt idx="214">
                  <c:v>41552</c:v>
                </c:pt>
                <c:pt idx="215">
                  <c:v>41545</c:v>
                </c:pt>
                <c:pt idx="216">
                  <c:v>41538</c:v>
                </c:pt>
                <c:pt idx="217">
                  <c:v>41531</c:v>
                </c:pt>
                <c:pt idx="218">
                  <c:v>41524</c:v>
                </c:pt>
                <c:pt idx="219">
                  <c:v>41517</c:v>
                </c:pt>
                <c:pt idx="220">
                  <c:v>41510</c:v>
                </c:pt>
                <c:pt idx="221">
                  <c:v>41503</c:v>
                </c:pt>
                <c:pt idx="222">
                  <c:v>41496</c:v>
                </c:pt>
                <c:pt idx="223">
                  <c:v>41489</c:v>
                </c:pt>
                <c:pt idx="224">
                  <c:v>41482</c:v>
                </c:pt>
                <c:pt idx="225">
                  <c:v>41475</c:v>
                </c:pt>
                <c:pt idx="226">
                  <c:v>41468</c:v>
                </c:pt>
                <c:pt idx="227">
                  <c:v>41461</c:v>
                </c:pt>
                <c:pt idx="228">
                  <c:v>41454</c:v>
                </c:pt>
                <c:pt idx="229">
                  <c:v>41447</c:v>
                </c:pt>
                <c:pt idx="230">
                  <c:v>41440</c:v>
                </c:pt>
                <c:pt idx="231">
                  <c:v>41433</c:v>
                </c:pt>
                <c:pt idx="232">
                  <c:v>41426</c:v>
                </c:pt>
                <c:pt idx="233">
                  <c:v>41419</c:v>
                </c:pt>
                <c:pt idx="234">
                  <c:v>41412</c:v>
                </c:pt>
                <c:pt idx="235">
                  <c:v>41405</c:v>
                </c:pt>
                <c:pt idx="236">
                  <c:v>41398</c:v>
                </c:pt>
                <c:pt idx="237">
                  <c:v>41391</c:v>
                </c:pt>
                <c:pt idx="238">
                  <c:v>41384</c:v>
                </c:pt>
                <c:pt idx="239">
                  <c:v>41377</c:v>
                </c:pt>
                <c:pt idx="240">
                  <c:v>41370</c:v>
                </c:pt>
                <c:pt idx="241">
                  <c:v>41363</c:v>
                </c:pt>
                <c:pt idx="242">
                  <c:v>41356</c:v>
                </c:pt>
                <c:pt idx="243">
                  <c:v>41349</c:v>
                </c:pt>
                <c:pt idx="244">
                  <c:v>41343</c:v>
                </c:pt>
                <c:pt idx="245">
                  <c:v>41336</c:v>
                </c:pt>
                <c:pt idx="246">
                  <c:v>41329</c:v>
                </c:pt>
                <c:pt idx="247">
                  <c:v>41322</c:v>
                </c:pt>
                <c:pt idx="248">
                  <c:v>41315</c:v>
                </c:pt>
                <c:pt idx="249">
                  <c:v>41308</c:v>
                </c:pt>
                <c:pt idx="250">
                  <c:v>41301</c:v>
                </c:pt>
                <c:pt idx="251">
                  <c:v>41294</c:v>
                </c:pt>
                <c:pt idx="252">
                  <c:v>41287</c:v>
                </c:pt>
                <c:pt idx="253">
                  <c:v>41280</c:v>
                </c:pt>
                <c:pt idx="254">
                  <c:v>41273</c:v>
                </c:pt>
                <c:pt idx="255">
                  <c:v>41266</c:v>
                </c:pt>
                <c:pt idx="256">
                  <c:v>41259</c:v>
                </c:pt>
                <c:pt idx="257">
                  <c:v>41252</c:v>
                </c:pt>
                <c:pt idx="258">
                  <c:v>41245</c:v>
                </c:pt>
                <c:pt idx="259">
                  <c:v>41238</c:v>
                </c:pt>
                <c:pt idx="260">
                  <c:v>41231</c:v>
                </c:pt>
                <c:pt idx="261">
                  <c:v>41224</c:v>
                </c:pt>
                <c:pt idx="262">
                  <c:v>41216</c:v>
                </c:pt>
                <c:pt idx="263">
                  <c:v>41209</c:v>
                </c:pt>
                <c:pt idx="264">
                  <c:v>41202</c:v>
                </c:pt>
                <c:pt idx="265">
                  <c:v>41195</c:v>
                </c:pt>
                <c:pt idx="266">
                  <c:v>41188</c:v>
                </c:pt>
                <c:pt idx="267">
                  <c:v>41181</c:v>
                </c:pt>
                <c:pt idx="268">
                  <c:v>41174</c:v>
                </c:pt>
                <c:pt idx="269">
                  <c:v>41167</c:v>
                </c:pt>
                <c:pt idx="270">
                  <c:v>41160</c:v>
                </c:pt>
                <c:pt idx="271">
                  <c:v>41153</c:v>
                </c:pt>
                <c:pt idx="272">
                  <c:v>41146</c:v>
                </c:pt>
                <c:pt idx="273">
                  <c:v>41139</c:v>
                </c:pt>
                <c:pt idx="274">
                  <c:v>41132</c:v>
                </c:pt>
                <c:pt idx="275">
                  <c:v>41125</c:v>
                </c:pt>
                <c:pt idx="276">
                  <c:v>41118</c:v>
                </c:pt>
                <c:pt idx="277">
                  <c:v>41111</c:v>
                </c:pt>
                <c:pt idx="278">
                  <c:v>41104</c:v>
                </c:pt>
                <c:pt idx="279">
                  <c:v>41097</c:v>
                </c:pt>
                <c:pt idx="280">
                  <c:v>41090</c:v>
                </c:pt>
                <c:pt idx="281">
                  <c:v>41083</c:v>
                </c:pt>
                <c:pt idx="282">
                  <c:v>41076</c:v>
                </c:pt>
                <c:pt idx="283">
                  <c:v>41069</c:v>
                </c:pt>
                <c:pt idx="284">
                  <c:v>41062</c:v>
                </c:pt>
                <c:pt idx="285">
                  <c:v>41055</c:v>
                </c:pt>
                <c:pt idx="286">
                  <c:v>41048</c:v>
                </c:pt>
                <c:pt idx="287">
                  <c:v>41041</c:v>
                </c:pt>
                <c:pt idx="288">
                  <c:v>41034</c:v>
                </c:pt>
                <c:pt idx="289">
                  <c:v>41027</c:v>
                </c:pt>
                <c:pt idx="290">
                  <c:v>41020</c:v>
                </c:pt>
                <c:pt idx="291">
                  <c:v>41013</c:v>
                </c:pt>
                <c:pt idx="292">
                  <c:v>41006</c:v>
                </c:pt>
                <c:pt idx="293">
                  <c:v>40999</c:v>
                </c:pt>
                <c:pt idx="294">
                  <c:v>40992</c:v>
                </c:pt>
                <c:pt idx="295">
                  <c:v>40985</c:v>
                </c:pt>
                <c:pt idx="296">
                  <c:v>40979</c:v>
                </c:pt>
                <c:pt idx="297">
                  <c:v>40972</c:v>
                </c:pt>
                <c:pt idx="298">
                  <c:v>40965</c:v>
                </c:pt>
                <c:pt idx="299">
                  <c:v>40958</c:v>
                </c:pt>
                <c:pt idx="300">
                  <c:v>40951</c:v>
                </c:pt>
                <c:pt idx="301">
                  <c:v>40944</c:v>
                </c:pt>
                <c:pt idx="302">
                  <c:v>40937</c:v>
                </c:pt>
                <c:pt idx="303">
                  <c:v>40930</c:v>
                </c:pt>
                <c:pt idx="304">
                  <c:v>40923</c:v>
                </c:pt>
                <c:pt idx="305">
                  <c:v>40916</c:v>
                </c:pt>
                <c:pt idx="306">
                  <c:v>40909</c:v>
                </c:pt>
              </c:numCache>
            </c:numRef>
          </c:cat>
          <c:val>
            <c:numRef>
              <c:f>Sheet1!$O$5:$O$311</c:f>
              <c:numCache>
                <c:formatCode>#,##0.00</c:formatCode>
                <c:ptCount val="307"/>
                <c:pt idx="0">
                  <c:v>5023.01</c:v>
                </c:pt>
                <c:pt idx="1">
                  <c:v>5027.49</c:v>
                </c:pt>
                <c:pt idx="2">
                  <c:v>5012.75</c:v>
                </c:pt>
                <c:pt idx="3">
                  <c:v>5001.1099999999997</c:v>
                </c:pt>
                <c:pt idx="4">
                  <c:v>4957.2700000000004</c:v>
                </c:pt>
                <c:pt idx="5">
                  <c:v>4949.09</c:v>
                </c:pt>
                <c:pt idx="6">
                  <c:v>4887.97</c:v>
                </c:pt>
                <c:pt idx="7">
                  <c:v>4853.2</c:v>
                </c:pt>
                <c:pt idx="8">
                  <c:v>4848.84</c:v>
                </c:pt>
                <c:pt idx="9">
                  <c:v>4771.0200000000004</c:v>
                </c:pt>
                <c:pt idx="10">
                  <c:v>4798.99</c:v>
                </c:pt>
                <c:pt idx="11">
                  <c:v>4731.46</c:v>
                </c:pt>
                <c:pt idx="12">
                  <c:v>4696.22</c:v>
                </c:pt>
                <c:pt idx="13">
                  <c:v>4723.7299999999996</c:v>
                </c:pt>
                <c:pt idx="14">
                  <c:v>4789.1099999999997</c:v>
                </c:pt>
                <c:pt idx="15">
                  <c:v>4778.0200000000004</c:v>
                </c:pt>
                <c:pt idx="16">
                  <c:v>4778.07</c:v>
                </c:pt>
                <c:pt idx="17">
                  <c:v>4751.43</c:v>
                </c:pt>
                <c:pt idx="18">
                  <c:v>4684.88</c:v>
                </c:pt>
                <c:pt idx="19">
                  <c:v>4678.3599999999997</c:v>
                </c:pt>
                <c:pt idx="20">
                  <c:v>4705.7299999999996</c:v>
                </c:pt>
                <c:pt idx="21">
                  <c:v>4695.2299999999996</c:v>
                </c:pt>
                <c:pt idx="22">
                  <c:v>4689.79</c:v>
                </c:pt>
                <c:pt idx="23">
                  <c:v>4702.5600000000004</c:v>
                </c:pt>
                <c:pt idx="24">
                  <c:v>4655.6499999999996</c:v>
                </c:pt>
                <c:pt idx="25">
                  <c:v>4588.3500000000004</c:v>
                </c:pt>
                <c:pt idx="26">
                  <c:v>4602.96</c:v>
                </c:pt>
                <c:pt idx="27">
                  <c:v>4615.09</c:v>
                </c:pt>
                <c:pt idx="28">
                  <c:v>4584.82</c:v>
                </c:pt>
                <c:pt idx="29">
                  <c:v>4515.8999999999996</c:v>
                </c:pt>
                <c:pt idx="30">
                  <c:v>4477.07</c:v>
                </c:pt>
                <c:pt idx="31">
                  <c:v>4527.2</c:v>
                </c:pt>
                <c:pt idx="32">
                  <c:v>4538.21</c:v>
                </c:pt>
                <c:pt idx="33">
                  <c:v>4501.1099999999997</c:v>
                </c:pt>
                <c:pt idx="34">
                  <c:v>4566.17</c:v>
                </c:pt>
                <c:pt idx="35">
                  <c:v>4553.28</c:v>
                </c:pt>
                <c:pt idx="36">
                  <c:v>4571.6000000000004</c:v>
                </c:pt>
                <c:pt idx="37">
                  <c:v>4539.25</c:v>
                </c:pt>
                <c:pt idx="38">
                  <c:v>4506.2</c:v>
                </c:pt>
                <c:pt idx="39">
                  <c:v>4435.42</c:v>
                </c:pt>
                <c:pt idx="40">
                  <c:v>4396.95</c:v>
                </c:pt>
                <c:pt idx="41">
                  <c:v>4389.8500000000004</c:v>
                </c:pt>
                <c:pt idx="42">
                  <c:v>4344.67</c:v>
                </c:pt>
                <c:pt idx="43">
                  <c:v>4350.1099999999997</c:v>
                </c:pt>
                <c:pt idx="44">
                  <c:v>4354.05</c:v>
                </c:pt>
                <c:pt idx="46">
                  <c:v>4278.66</c:v>
                </c:pt>
                <c:pt idx="47">
                  <c:v>4325.17</c:v>
                </c:pt>
                <c:pt idx="48">
                  <c:v>4312.3999999999996</c:v>
                </c:pt>
                <c:pt idx="49">
                  <c:v>4313.6099999999997</c:v>
                </c:pt>
                <c:pt idx="50">
                  <c:v>4182.8100000000004</c:v>
                </c:pt>
                <c:pt idx="51">
                  <c:v>4221.0200000000004</c:v>
                </c:pt>
                <c:pt idx="52">
                  <c:v>4160.58</c:v>
                </c:pt>
                <c:pt idx="53">
                  <c:v>4123.6899999999996</c:v>
                </c:pt>
                <c:pt idx="54">
                  <c:v>3970.02</c:v>
                </c:pt>
                <c:pt idx="55">
                  <c:v>4046.36</c:v>
                </c:pt>
                <c:pt idx="56">
                  <c:v>4073.85</c:v>
                </c:pt>
                <c:pt idx="57">
                  <c:v>4057.28</c:v>
                </c:pt>
                <c:pt idx="58">
                  <c:v>4096.25</c:v>
                </c:pt>
                <c:pt idx="59">
                  <c:v>4121.0600000000004</c:v>
                </c:pt>
                <c:pt idx="60">
                  <c:v>4112.6899999999996</c:v>
                </c:pt>
                <c:pt idx="61">
                  <c:v>4063.97</c:v>
                </c:pt>
                <c:pt idx="62">
                  <c:v>4039.95</c:v>
                </c:pt>
                <c:pt idx="63">
                  <c:v>4137.7</c:v>
                </c:pt>
                <c:pt idx="64">
                  <c:v>4114.68</c:v>
                </c:pt>
                <c:pt idx="65">
                  <c:v>4142.2299999999996</c:v>
                </c:pt>
                <c:pt idx="66">
                  <c:v>4139.63</c:v>
                </c:pt>
                <c:pt idx="67">
                  <c:v>4134.5600000000004</c:v>
                </c:pt>
                <c:pt idx="68">
                  <c:v>4114.51</c:v>
                </c:pt>
                <c:pt idx="69">
                  <c:v>4116.5</c:v>
                </c:pt>
                <c:pt idx="70">
                  <c:v>4090.49</c:v>
                </c:pt>
                <c:pt idx="71">
                  <c:v>4029.75</c:v>
                </c:pt>
                <c:pt idx="72">
                  <c:v>3976.68</c:v>
                </c:pt>
                <c:pt idx="73">
                  <c:v>3850.7</c:v>
                </c:pt>
                <c:pt idx="74">
                  <c:v>3914.15</c:v>
                </c:pt>
                <c:pt idx="75">
                  <c:v>3958.68</c:v>
                </c:pt>
                <c:pt idx="76">
                  <c:v>3963.23</c:v>
                </c:pt>
                <c:pt idx="77">
                  <c:v>3961.67</c:v>
                </c:pt>
                <c:pt idx="78">
                  <c:v>3871.75</c:v>
                </c:pt>
                <c:pt idx="79">
                  <c:v>3858.17</c:v>
                </c:pt>
                <c:pt idx="80">
                  <c:v>3875.18</c:v>
                </c:pt>
                <c:pt idx="81">
                  <c:v>3888.13</c:v>
                </c:pt>
                <c:pt idx="82">
                  <c:v>3937</c:v>
                </c:pt>
                <c:pt idx="83">
                  <c:v>3916.17</c:v>
                </c:pt>
                <c:pt idx="84">
                  <c:v>3852.72</c:v>
                </c:pt>
                <c:pt idx="85">
                  <c:v>3897.66</c:v>
                </c:pt>
                <c:pt idx="86">
                  <c:v>3827.14</c:v>
                </c:pt>
                <c:pt idx="87">
                  <c:v>3852.15</c:v>
                </c:pt>
                <c:pt idx="88">
                  <c:v>3800.07</c:v>
                </c:pt>
                <c:pt idx="89">
                  <c:v>3755.47</c:v>
                </c:pt>
                <c:pt idx="90">
                  <c:v>3656.42</c:v>
                </c:pt>
                <c:pt idx="91">
                  <c:v>3597.92</c:v>
                </c:pt>
                <c:pt idx="92">
                  <c:v>3496.28</c:v>
                </c:pt>
                <c:pt idx="93">
                  <c:v>3521.6</c:v>
                </c:pt>
                <c:pt idx="94">
                  <c:v>3631.96</c:v>
                </c:pt>
                <c:pt idx="95">
                  <c:v>3568.9</c:v>
                </c:pt>
                <c:pt idx="96">
                  <c:v>3518.51</c:v>
                </c:pt>
                <c:pt idx="97">
                  <c:v>3595.91</c:v>
                </c:pt>
                <c:pt idx="98">
                  <c:v>3821.6</c:v>
                </c:pt>
                <c:pt idx="99">
                  <c:v>3852.31</c:v>
                </c:pt>
                <c:pt idx="100">
                  <c:v>3747.56</c:v>
                </c:pt>
                <c:pt idx="101">
                  <c:v>3759.09</c:v>
                </c:pt>
                <c:pt idx="102">
                  <c:v>3905.31</c:v>
                </c:pt>
                <c:pt idx="103">
                  <c:v>3900.74</c:v>
                </c:pt>
                <c:pt idx="104">
                  <c:v>3897.45</c:v>
                </c:pt>
                <c:pt idx="105">
                  <c:v>3771.59</c:v>
                </c:pt>
                <c:pt idx="106">
                  <c:v>3910.98</c:v>
                </c:pt>
                <c:pt idx="107">
                  <c:v>3871.33</c:v>
                </c:pt>
                <c:pt idx="108">
                  <c:v>3862.65</c:v>
                </c:pt>
                <c:pt idx="109">
                  <c:v>3783.64</c:v>
                </c:pt>
                <c:pt idx="110">
                  <c:v>3748.96</c:v>
                </c:pt>
                <c:pt idx="111">
                  <c:v>3629.04</c:v>
                </c:pt>
                <c:pt idx="112">
                  <c:v>3589.71</c:v>
                </c:pt>
                <c:pt idx="113">
                  <c:v>3638.99</c:v>
                </c:pt>
                <c:pt idx="114">
                  <c:v>3643.54</c:v>
                </c:pt>
                <c:pt idx="115">
                  <c:v>3567.41</c:v>
                </c:pt>
                <c:pt idx="116">
                  <c:v>3691.3</c:v>
                </c:pt>
                <c:pt idx="117">
                  <c:v>3656.67</c:v>
                </c:pt>
                <c:pt idx="118">
                  <c:v>3878.16</c:v>
                </c:pt>
                <c:pt idx="119">
                  <c:v>3849.96</c:v>
                </c:pt>
                <c:pt idx="120">
                  <c:v>3895.8</c:v>
                </c:pt>
                <c:pt idx="121">
                  <c:v>3850.15</c:v>
                </c:pt>
                <c:pt idx="122">
                  <c:v>3936.22</c:v>
                </c:pt>
                <c:pt idx="123">
                  <c:v>3843.1</c:v>
                </c:pt>
                <c:pt idx="124">
                  <c:v>3842.06</c:v>
                </c:pt>
                <c:pt idx="125">
                  <c:v>3886.21</c:v>
                </c:pt>
                <c:pt idx="126">
                  <c:v>3900.64</c:v>
                </c:pt>
                <c:pt idx="127">
                  <c:v>3870.56</c:v>
                </c:pt>
                <c:pt idx="128">
                  <c:v>3865.83</c:v>
                </c:pt>
                <c:pt idx="129">
                  <c:v>3891.18</c:v>
                </c:pt>
                <c:pt idx="130">
                  <c:v>3924.16</c:v>
                </c:pt>
                <c:pt idx="131">
                  <c:v>3915.99</c:v>
                </c:pt>
                <c:pt idx="132">
                  <c:v>3901.01</c:v>
                </c:pt>
                <c:pt idx="133">
                  <c:v>3883.75</c:v>
                </c:pt>
                <c:pt idx="134">
                  <c:v>3900.24</c:v>
                </c:pt>
                <c:pt idx="135">
                  <c:v>3832.33</c:v>
                </c:pt>
                <c:pt idx="136">
                  <c:v>3870.31</c:v>
                </c:pt>
                <c:pt idx="137">
                  <c:v>3804.14</c:v>
                </c:pt>
                <c:pt idx="138">
                  <c:v>3791.9</c:v>
                </c:pt>
                <c:pt idx="139">
                  <c:v>3877.26</c:v>
                </c:pt>
                <c:pt idx="140">
                  <c:v>3776.44</c:v>
                </c:pt>
                <c:pt idx="141">
                  <c:v>3807.04</c:v>
                </c:pt>
                <c:pt idx="142">
                  <c:v>3866.42</c:v>
                </c:pt>
                <c:pt idx="143">
                  <c:v>3875.6</c:v>
                </c:pt>
                <c:pt idx="144">
                  <c:v>3849.29</c:v>
                </c:pt>
                <c:pt idx="145">
                  <c:v>3770.2</c:v>
                </c:pt>
                <c:pt idx="146">
                  <c:v>3656.28</c:v>
                </c:pt>
                <c:pt idx="147">
                  <c:v>3759.76</c:v>
                </c:pt>
                <c:pt idx="148">
                  <c:v>3699.79</c:v>
                </c:pt>
                <c:pt idx="149">
                  <c:v>3745.67</c:v>
                </c:pt>
                <c:pt idx="150">
                  <c:v>3768.68</c:v>
                </c:pt>
                <c:pt idx="151">
                  <c:v>3823</c:v>
                </c:pt>
                <c:pt idx="152">
                  <c:v>3788.97</c:v>
                </c:pt>
                <c:pt idx="153">
                  <c:v>3663.1</c:v>
                </c:pt>
                <c:pt idx="154">
                  <c:v>3794.68</c:v>
                </c:pt>
                <c:pt idx="155">
                  <c:v>3778.96</c:v>
                </c:pt>
                <c:pt idx="156">
                  <c:v>3770.03</c:v>
                </c:pt>
                <c:pt idx="157">
                  <c:v>3724.92</c:v>
                </c:pt>
                <c:pt idx="158">
                  <c:v>3708.46</c:v>
                </c:pt>
                <c:pt idx="159">
                  <c:v>3679.99</c:v>
                </c:pt>
                <c:pt idx="160">
                  <c:v>3581.82</c:v>
                </c:pt>
                <c:pt idx="161">
                  <c:v>3439.39</c:v>
                </c:pt>
                <c:pt idx="162">
                  <c:v>3474.23</c:v>
                </c:pt>
                <c:pt idx="163">
                  <c:v>3584.94</c:v>
                </c:pt>
                <c:pt idx="164">
                  <c:v>3610.98</c:v>
                </c:pt>
                <c:pt idx="165">
                  <c:v>3660.03</c:v>
                </c:pt>
                <c:pt idx="166">
                  <c:v>3614.06</c:v>
                </c:pt>
                <c:pt idx="167">
                  <c:v>3652.26</c:v>
                </c:pt>
                <c:pt idx="168">
                  <c:v>3643.33</c:v>
                </c:pt>
                <c:pt idx="169">
                  <c:v>3614.5</c:v>
                </c:pt>
                <c:pt idx="170">
                  <c:v>3552.17</c:v>
                </c:pt>
                <c:pt idx="171">
                  <c:v>3507.21</c:v>
                </c:pt>
                <c:pt idx="172">
                  <c:v>3493.18</c:v>
                </c:pt>
                <c:pt idx="173">
                  <c:v>3588.68</c:v>
                </c:pt>
                <c:pt idx="174">
                  <c:v>3588.21</c:v>
                </c:pt>
                <c:pt idx="175">
                  <c:v>3568.08</c:v>
                </c:pt>
                <c:pt idx="176">
                  <c:v>3598.73</c:v>
                </c:pt>
                <c:pt idx="177">
                  <c:v>3553.35</c:v>
                </c:pt>
                <c:pt idx="178">
                  <c:v>3555.6</c:v>
                </c:pt>
                <c:pt idx="179">
                  <c:v>3506.58</c:v>
                </c:pt>
                <c:pt idx="180">
                  <c:v>3528.98</c:v>
                </c:pt>
                <c:pt idx="181">
                  <c:v>3480.29</c:v>
                </c:pt>
                <c:pt idx="182">
                  <c:v>3437.58</c:v>
                </c:pt>
                <c:pt idx="183">
                  <c:v>3395.21</c:v>
                </c:pt>
                <c:pt idx="184">
                  <c:v>3394.05</c:v>
                </c:pt>
                <c:pt idx="185">
                  <c:v>3395.61</c:v>
                </c:pt>
                <c:pt idx="186">
                  <c:v>3362.95</c:v>
                </c:pt>
                <c:pt idx="187">
                  <c:v>3365</c:v>
                </c:pt>
                <c:pt idx="188">
                  <c:v>3276.04</c:v>
                </c:pt>
                <c:pt idx="189">
                  <c:v>3363.41</c:v>
                </c:pt>
                <c:pt idx="190">
                  <c:v>3348.83</c:v>
                </c:pt>
                <c:pt idx="191">
                  <c:v>3363.72</c:v>
                </c:pt>
                <c:pt idx="192">
                  <c:v>3317.81</c:v>
                </c:pt>
                <c:pt idx="193">
                  <c:v>3382.57</c:v>
                </c:pt>
                <c:pt idx="194">
                  <c:v>3347.38</c:v>
                </c:pt>
                <c:pt idx="195">
                  <c:v>3304.36</c:v>
                </c:pt>
                <c:pt idx="196">
                  <c:v>3306.92</c:v>
                </c:pt>
                <c:pt idx="197">
                  <c:v>3229.65</c:v>
                </c:pt>
                <c:pt idx="198">
                  <c:v>3200.95</c:v>
                </c:pt>
                <c:pt idx="199">
                  <c:v>3214.14</c:v>
                </c:pt>
                <c:pt idx="200">
                  <c:v>3300.51</c:v>
                </c:pt>
                <c:pt idx="201">
                  <c:v>3306.49</c:v>
                </c:pt>
                <c:pt idx="202">
                  <c:v>3285.68</c:v>
                </c:pt>
                <c:pt idx="203">
                  <c:v>3302.66</c:v>
                </c:pt>
                <c:pt idx="204">
                  <c:v>3259.79</c:v>
                </c:pt>
                <c:pt idx="205">
                  <c:v>3182.07</c:v>
                </c:pt>
                <c:pt idx="206">
                  <c:v>3233.99</c:v>
                </c:pt>
                <c:pt idx="207">
                  <c:v>3233.72</c:v>
                </c:pt>
                <c:pt idx="208">
                  <c:v>3230.54</c:v>
                </c:pt>
                <c:pt idx="209">
                  <c:v>3217.2</c:v>
                </c:pt>
                <c:pt idx="210">
                  <c:v>3166.11</c:v>
                </c:pt>
                <c:pt idx="211">
                  <c:v>3147.21</c:v>
                </c:pt>
                <c:pt idx="212">
                  <c:v>3143.16</c:v>
                </c:pt>
                <c:pt idx="213">
                  <c:v>3115.77</c:v>
                </c:pt>
                <c:pt idx="214">
                  <c:v>3041.43</c:v>
                </c:pt>
                <c:pt idx="215">
                  <c:v>3017.05</c:v>
                </c:pt>
                <c:pt idx="216">
                  <c:v>3018.24</c:v>
                </c:pt>
                <c:pt idx="217">
                  <c:v>3049.47</c:v>
                </c:pt>
                <c:pt idx="218">
                  <c:v>3009.79</c:v>
                </c:pt>
                <c:pt idx="219">
                  <c:v>2949.8</c:v>
                </c:pt>
                <c:pt idx="220">
                  <c:v>2908.96</c:v>
                </c:pt>
                <c:pt idx="221">
                  <c:v>2962.06</c:v>
                </c:pt>
                <c:pt idx="222">
                  <c:v>2947.46</c:v>
                </c:pt>
                <c:pt idx="223">
                  <c:v>3008.79</c:v>
                </c:pt>
                <c:pt idx="224">
                  <c:v>3038.63</c:v>
                </c:pt>
                <c:pt idx="225">
                  <c:v>3005.51</c:v>
                </c:pt>
                <c:pt idx="226">
                  <c:v>3006.13</c:v>
                </c:pt>
                <c:pt idx="227">
                  <c:v>2984.24</c:v>
                </c:pt>
                <c:pt idx="228">
                  <c:v>2897.12</c:v>
                </c:pt>
                <c:pt idx="229">
                  <c:v>2850.66</c:v>
                </c:pt>
                <c:pt idx="230">
                  <c:v>2824.97</c:v>
                </c:pt>
                <c:pt idx="231">
                  <c:v>2885.24</c:v>
                </c:pt>
                <c:pt idx="232">
                  <c:v>2913.46</c:v>
                </c:pt>
                <c:pt idx="233">
                  <c:v>2889.46</c:v>
                </c:pt>
                <c:pt idx="234">
                  <c:v>2921.88</c:v>
                </c:pt>
                <c:pt idx="235">
                  <c:v>2952.56</c:v>
                </c:pt>
                <c:pt idx="236">
                  <c:v>2890.77</c:v>
                </c:pt>
                <c:pt idx="237">
                  <c:v>2853.88</c:v>
                </c:pt>
                <c:pt idx="238">
                  <c:v>2796.24</c:v>
                </c:pt>
                <c:pt idx="239">
                  <c:v>2747.94</c:v>
                </c:pt>
                <c:pt idx="240">
                  <c:v>2807.1</c:v>
                </c:pt>
                <c:pt idx="241">
                  <c:v>2742.86</c:v>
                </c:pt>
                <c:pt idx="242">
                  <c:v>2770.05</c:v>
                </c:pt>
                <c:pt idx="243">
                  <c:v>2747.25</c:v>
                </c:pt>
                <c:pt idx="244">
                  <c:v>2753.82</c:v>
                </c:pt>
                <c:pt idx="245">
                  <c:v>2735.67</c:v>
                </c:pt>
                <c:pt idx="246">
                  <c:v>2676.18</c:v>
                </c:pt>
                <c:pt idx="247">
                  <c:v>2670.36</c:v>
                </c:pt>
                <c:pt idx="248">
                  <c:v>2676.21</c:v>
                </c:pt>
                <c:pt idx="249">
                  <c:v>2670.85</c:v>
                </c:pt>
                <c:pt idx="250">
                  <c:v>2660.7</c:v>
                </c:pt>
                <c:pt idx="251">
                  <c:v>2641.64</c:v>
                </c:pt>
                <c:pt idx="252">
                  <c:v>2611.54</c:v>
                </c:pt>
                <c:pt idx="253">
                  <c:v>2586.69</c:v>
                </c:pt>
                <c:pt idx="254">
                  <c:v>2575.66</c:v>
                </c:pt>
                <c:pt idx="255">
                  <c:v>2462.71</c:v>
                </c:pt>
                <c:pt idx="256">
                  <c:v>2510.3200000000002</c:v>
                </c:pt>
                <c:pt idx="257">
                  <c:v>2480.36</c:v>
                </c:pt>
                <c:pt idx="258">
                  <c:v>2486.84</c:v>
                </c:pt>
                <c:pt idx="259">
                  <c:v>2481.8200000000002</c:v>
                </c:pt>
                <c:pt idx="260">
                  <c:v>2468.06</c:v>
                </c:pt>
                <c:pt idx="261">
                  <c:v>2381.02</c:v>
                </c:pt>
                <c:pt idx="262">
                  <c:v>2413.92</c:v>
                </c:pt>
                <c:pt idx="263">
                  <c:v>2471.3000000000002</c:v>
                </c:pt>
                <c:pt idx="264">
                  <c:v>2466.8000000000002</c:v>
                </c:pt>
                <c:pt idx="265">
                  <c:v>2503.8000000000002</c:v>
                </c:pt>
                <c:pt idx="266">
                  <c:v>2495.2800000000002</c:v>
                </c:pt>
                <c:pt idx="267">
                  <c:v>2551.0300000000002</c:v>
                </c:pt>
                <c:pt idx="268">
                  <c:v>2513.9299999999998</c:v>
                </c:pt>
                <c:pt idx="269">
                  <c:v>2546.92</c:v>
                </c:pt>
                <c:pt idx="270">
                  <c:v>2556.13</c:v>
                </c:pt>
                <c:pt idx="271">
                  <c:v>2506.37</c:v>
                </c:pt>
                <c:pt idx="272">
                  <c:v>2450.6</c:v>
                </c:pt>
                <c:pt idx="273">
                  <c:v>2457.4</c:v>
                </c:pt>
                <c:pt idx="274">
                  <c:v>2469</c:v>
                </c:pt>
                <c:pt idx="275">
                  <c:v>2445.64</c:v>
                </c:pt>
                <c:pt idx="276">
                  <c:v>2417.77</c:v>
                </c:pt>
                <c:pt idx="277">
                  <c:v>2408.0700000000002</c:v>
                </c:pt>
                <c:pt idx="278">
                  <c:v>2367.2600000000002</c:v>
                </c:pt>
                <c:pt idx="279">
                  <c:v>2356.4</c:v>
                </c:pt>
                <c:pt idx="280">
                  <c:v>2352.34</c:v>
                </c:pt>
                <c:pt idx="281">
                  <c:v>2363.79</c:v>
                </c:pt>
                <c:pt idx="282">
                  <c:v>2315.65</c:v>
                </c:pt>
                <c:pt idx="283">
                  <c:v>2328.66</c:v>
                </c:pt>
                <c:pt idx="284">
                  <c:v>2297.8200000000002</c:v>
                </c:pt>
                <c:pt idx="285">
                  <c:v>2214.41</c:v>
                </c:pt>
                <c:pt idx="286">
                  <c:v>2281.92</c:v>
                </c:pt>
                <c:pt idx="287">
                  <c:v>2242.25</c:v>
                </c:pt>
                <c:pt idx="288">
                  <c:v>2341.23</c:v>
                </c:pt>
                <c:pt idx="289">
                  <c:v>2366.39</c:v>
                </c:pt>
                <c:pt idx="290">
                  <c:v>2424.7800000000002</c:v>
                </c:pt>
                <c:pt idx="291">
                  <c:v>2381.3200000000002</c:v>
                </c:pt>
                <c:pt idx="292">
                  <c:v>2366.84</c:v>
                </c:pt>
                <c:pt idx="293">
                  <c:v>2414.4</c:v>
                </c:pt>
                <c:pt idx="294">
                  <c:v>2430.67</c:v>
                </c:pt>
                <c:pt idx="295">
                  <c:v>2410.16</c:v>
                </c:pt>
                <c:pt idx="296">
                  <c:v>2422.09</c:v>
                </c:pt>
                <c:pt idx="297">
                  <c:v>2363.56</c:v>
                </c:pt>
                <c:pt idx="298">
                  <c:v>2360.2800000000002</c:v>
                </c:pt>
                <c:pt idx="299">
                  <c:v>2352.34</c:v>
                </c:pt>
                <c:pt idx="300">
                  <c:v>2343.67</c:v>
                </c:pt>
                <c:pt idx="301">
                  <c:v>2309.6</c:v>
                </c:pt>
                <c:pt idx="302">
                  <c:v>2312.4899999999998</c:v>
                </c:pt>
                <c:pt idx="303">
                  <c:v>2262.35</c:v>
                </c:pt>
                <c:pt idx="304">
                  <c:v>2260.37</c:v>
                </c:pt>
                <c:pt idx="305">
                  <c:v>2214.73</c:v>
                </c:pt>
                <c:pt idx="306">
                  <c:v>2194.98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AF-4772-8C6C-DA856F6B0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246568"/>
        <c:axId val="522246240"/>
      </c:lineChart>
      <c:dateAx>
        <c:axId val="481261560"/>
        <c:scaling>
          <c:orientation val="minMax"/>
        </c:scaling>
        <c:delete val="0"/>
        <c:axPos val="b"/>
        <c:numFmt formatCode="d\-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260904"/>
        <c:crosses val="autoZero"/>
        <c:auto val="1"/>
        <c:lblOffset val="100"/>
        <c:baseTimeUnit val="days"/>
      </c:dateAx>
      <c:valAx>
        <c:axId val="4812609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1261560"/>
        <c:crosses val="autoZero"/>
        <c:crossBetween val="between"/>
      </c:valAx>
      <c:valAx>
        <c:axId val="522246240"/>
        <c:scaling>
          <c:orientation val="minMax"/>
        </c:scaling>
        <c:delete val="0"/>
        <c:axPos val="r"/>
        <c:numFmt formatCode="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246568"/>
        <c:crosses val="max"/>
        <c:crossBetween val="between"/>
      </c:valAx>
      <c:dateAx>
        <c:axId val="522246568"/>
        <c:scaling>
          <c:orientation val="minMax"/>
        </c:scaling>
        <c:delete val="1"/>
        <c:axPos val="b"/>
        <c:numFmt formatCode="d\-mmm\-yy" sourceLinked="1"/>
        <c:majorTickMark val="out"/>
        <c:minorTickMark val="none"/>
        <c:tickLblPos val="nextTo"/>
        <c:crossAx val="522246240"/>
        <c:crosses val="autoZero"/>
        <c:auto val="1"/>
        <c:lblOffset val="100"/>
        <c:baseTimeUnit val="day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579120</xdr:colOff>
      <xdr:row>7</xdr:row>
      <xdr:rowOff>83820</xdr:rowOff>
    </xdr:from>
    <xdr:to>
      <xdr:col>9</xdr:col>
      <xdr:colOff>316665</xdr:colOff>
      <xdr:row>9</xdr:row>
      <xdr:rowOff>170916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B07BE8-14AC-44E6-AF9C-1B23EB62F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4240" y="1516380"/>
          <a:ext cx="2785545" cy="4613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76200</xdr:colOff>
      <xdr:row>4</xdr:row>
      <xdr:rowOff>19050</xdr:rowOff>
    </xdr:from>
    <xdr:to>
      <xdr:col>23</xdr:col>
      <xdr:colOff>381000</xdr:colOff>
      <xdr:row>18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83F6824-DFEE-4FED-AFDD-0F1B202EAB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kevin.yulianto@mail.mcgill.ca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J12"/>
  <sheetViews>
    <sheetView tabSelected="1" zoomScale="90" zoomScaleNormal="90" workbookViewId="0">
      <selection activeCell="G15" sqref="G15"/>
    </sheetView>
  </sheetViews>
  <sheetFormatPr defaultColWidth="8.88671875" defaultRowHeight="14.4" x14ac:dyDescent="0.3"/>
  <cols>
    <col min="1" max="1" width="8.88671875" style="4"/>
    <col min="2" max="2" width="14.6640625" style="4" customWidth="1"/>
    <col min="3" max="3" width="16.33203125" style="4" bestFit="1" customWidth="1"/>
    <col min="4" max="16384" width="8.88671875" style="4"/>
  </cols>
  <sheetData>
    <row r="5" spans="2:10" ht="25.8" x14ac:dyDescent="0.5">
      <c r="B5" s="2" t="s">
        <v>177</v>
      </c>
      <c r="C5" s="3"/>
      <c r="D5" s="3"/>
      <c r="E5" s="3"/>
      <c r="F5" s="3"/>
      <c r="G5" s="3"/>
      <c r="H5" s="3"/>
      <c r="I5" s="3"/>
      <c r="J5" s="3"/>
    </row>
    <row r="6" spans="2:10" ht="15" thickBot="1" x14ac:dyDescent="0.35">
      <c r="B6" s="5"/>
      <c r="C6" s="5"/>
      <c r="D6" s="5"/>
      <c r="E6" s="5"/>
      <c r="F6" s="5"/>
      <c r="G6" s="5"/>
      <c r="H6" s="5"/>
      <c r="I6" s="5"/>
      <c r="J6" s="5"/>
    </row>
    <row r="7" spans="2:10" x14ac:dyDescent="0.3">
      <c r="B7" s="6" t="s">
        <v>178</v>
      </c>
      <c r="C7" s="7">
        <v>43049</v>
      </c>
    </row>
    <row r="9" spans="2:10" ht="15" thickBot="1" x14ac:dyDescent="0.35">
      <c r="B9" s="6" t="s">
        <v>179</v>
      </c>
      <c r="C9" s="5" t="s">
        <v>180</v>
      </c>
    </row>
    <row r="10" spans="2:10" x14ac:dyDescent="0.3">
      <c r="C10" s="120" t="s">
        <v>434</v>
      </c>
    </row>
    <row r="11" spans="2:10" x14ac:dyDescent="0.3">
      <c r="F11" s="6"/>
    </row>
    <row r="12" spans="2:10" ht="15" thickBot="1" x14ac:dyDescent="0.35">
      <c r="B12" s="5"/>
      <c r="C12" s="5"/>
      <c r="D12" s="5"/>
      <c r="E12" s="5"/>
      <c r="F12" s="5"/>
      <c r="G12" s="5"/>
      <c r="H12" s="5"/>
      <c r="I12" s="5"/>
      <c r="J12" s="5"/>
    </row>
  </sheetData>
  <hyperlinks>
    <hyperlink ref="C10" r:id="rId1" xr:uid="{B87685BF-63A9-498C-9532-199828E439A9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J185"/>
  <sheetViews>
    <sheetView zoomScale="80" zoomScaleNormal="80" workbookViewId="0">
      <selection activeCell="AT19" sqref="AT19"/>
    </sheetView>
  </sheetViews>
  <sheetFormatPr defaultRowHeight="14.4" x14ac:dyDescent="0.3"/>
  <cols>
    <col min="1" max="1" width="8.88671875" style="4"/>
    <col min="2" max="2" width="25.6640625" style="16" customWidth="1"/>
    <col min="3" max="3" width="3.6640625" style="4" customWidth="1"/>
    <col min="4" max="4" width="7.77734375" style="4" customWidth="1"/>
    <col min="5" max="5" width="3.6640625" style="4" customWidth="1"/>
    <col min="6" max="6" width="7.77734375" style="4" customWidth="1"/>
    <col min="7" max="7" width="3.6640625" style="4" customWidth="1"/>
    <col min="8" max="8" width="7.77734375" style="4" customWidth="1"/>
    <col min="9" max="9" width="3.6640625" style="4" customWidth="1"/>
    <col min="10" max="10" width="7.77734375" style="4" customWidth="1"/>
    <col min="11" max="11" width="3.6640625" style="4" customWidth="1"/>
    <col min="12" max="12" width="7.77734375" style="4" customWidth="1"/>
    <col min="13" max="13" width="3.6640625" style="4" customWidth="1"/>
    <col min="14" max="14" width="7.77734375" style="4" customWidth="1"/>
    <col min="15" max="15" width="3.6640625" style="4" customWidth="1"/>
    <col min="16" max="16" width="7.77734375" style="4" customWidth="1"/>
    <col min="17" max="17" width="3.6640625" style="4" customWidth="1"/>
    <col min="18" max="18" width="7.77734375" style="4" customWidth="1"/>
    <col min="19" max="19" width="3.6640625" style="4" customWidth="1"/>
    <col min="20" max="20" width="7.77734375" style="4" customWidth="1"/>
    <col min="21" max="21" width="3.6640625" style="4" customWidth="1"/>
    <col min="22" max="22" width="7.77734375" style="4" customWidth="1"/>
    <col min="23" max="23" width="3.6640625" style="4" customWidth="1"/>
    <col min="24" max="24" width="7.77734375" style="4" customWidth="1"/>
    <col min="25" max="25" width="3.6640625" style="4" customWidth="1"/>
    <col min="26" max="26" width="7.77734375" style="4" customWidth="1"/>
    <col min="27" max="27" width="3.6640625" style="4" customWidth="1"/>
    <col min="28" max="28" width="7.77734375" style="4" customWidth="1"/>
    <col min="29" max="29" width="3.6640625" style="4" customWidth="1"/>
    <col min="30" max="30" width="7.77734375" style="4" customWidth="1"/>
    <col min="31" max="33" width="8.88671875" style="4"/>
    <col min="34" max="34" width="25.6640625" style="16" customWidth="1"/>
    <col min="35" max="35" width="3.6640625" style="4" customWidth="1"/>
    <col min="36" max="36" width="8.88671875" style="4"/>
    <col min="37" max="37" width="3.6640625" style="4" customWidth="1"/>
    <col min="38" max="38" width="8.88671875" style="4"/>
    <col min="39" max="39" width="3.6640625" style="4" customWidth="1"/>
    <col min="40" max="40" width="8.88671875" style="4"/>
    <col min="41" max="41" width="3.6640625" style="4" customWidth="1"/>
    <col min="42" max="42" width="8.88671875" style="4"/>
    <col min="43" max="43" width="3.6640625" style="4" customWidth="1"/>
    <col min="44" max="44" width="8.88671875" style="4"/>
    <col min="45" max="45" width="3.6640625" style="4" customWidth="1"/>
    <col min="46" max="46" width="8.88671875" style="4"/>
    <col min="47" max="47" width="3.6640625" style="4" customWidth="1"/>
    <col min="48" max="48" width="8.88671875" style="4"/>
    <col min="49" max="49" width="3.6640625" style="4" customWidth="1"/>
    <col min="50" max="50" width="8.88671875" style="4"/>
    <col min="51" max="51" width="3.6640625" style="4" customWidth="1"/>
    <col min="52" max="52" width="8.88671875" style="4"/>
    <col min="53" max="53" width="3.6640625" style="4" customWidth="1"/>
    <col min="54" max="54" width="8.88671875" style="4"/>
    <col min="55" max="55" width="3.6640625" style="4" customWidth="1"/>
    <col min="56" max="56" width="8.88671875" style="4"/>
    <col min="57" max="57" width="3.6640625" style="4" customWidth="1"/>
    <col min="58" max="58" width="8.88671875" style="4"/>
    <col min="59" max="59" width="3.6640625" style="4" customWidth="1"/>
    <col min="60" max="60" width="8.88671875" style="4"/>
    <col min="61" max="61" width="3.6640625" style="4" customWidth="1"/>
    <col min="62" max="16384" width="8.88671875" style="4"/>
  </cols>
  <sheetData>
    <row r="1" spans="2:62" ht="25.8" x14ac:dyDescent="0.5">
      <c r="B1" s="9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H1" s="9" t="s">
        <v>177</v>
      </c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</row>
    <row r="3" spans="2:62" x14ac:dyDescent="0.3">
      <c r="B3" s="10" t="s">
        <v>182</v>
      </c>
      <c r="C3" s="1"/>
      <c r="D3" s="1">
        <v>2012</v>
      </c>
      <c r="E3" s="1"/>
      <c r="F3" s="1">
        <v>2013</v>
      </c>
      <c r="G3" s="1"/>
      <c r="H3" s="1">
        <v>2014</v>
      </c>
      <c r="I3" s="1"/>
      <c r="J3" s="1">
        <v>2015</v>
      </c>
      <c r="K3" s="1"/>
      <c r="L3" s="1">
        <v>2016</v>
      </c>
      <c r="M3" s="1"/>
      <c r="N3" s="1" t="s">
        <v>0</v>
      </c>
      <c r="O3" s="1"/>
      <c r="P3" s="1" t="s">
        <v>6</v>
      </c>
      <c r="Q3" s="1"/>
      <c r="R3" s="1" t="s">
        <v>7</v>
      </c>
      <c r="S3" s="1"/>
      <c r="T3" s="1" t="s">
        <v>8</v>
      </c>
      <c r="U3" s="1"/>
      <c r="V3" s="1" t="s">
        <v>9</v>
      </c>
      <c r="W3" s="1"/>
      <c r="X3" s="1" t="s">
        <v>10</v>
      </c>
      <c r="Y3" s="1"/>
      <c r="Z3" s="1" t="s">
        <v>11</v>
      </c>
      <c r="AA3" s="1"/>
      <c r="AB3" s="1" t="s">
        <v>12</v>
      </c>
      <c r="AC3" s="1"/>
      <c r="AD3" s="1" t="s">
        <v>13</v>
      </c>
      <c r="AH3" s="10" t="s">
        <v>187</v>
      </c>
      <c r="AI3" s="1"/>
      <c r="AJ3" s="1">
        <v>2012</v>
      </c>
      <c r="AK3" s="1"/>
      <c r="AL3" s="1">
        <v>2013</v>
      </c>
      <c r="AM3" s="1"/>
      <c r="AN3" s="1">
        <v>2014</v>
      </c>
      <c r="AO3" s="1"/>
      <c r="AP3" s="1">
        <v>2015</v>
      </c>
      <c r="AQ3" s="1"/>
      <c r="AR3" s="1">
        <v>2016</v>
      </c>
      <c r="AS3" s="1"/>
      <c r="AT3" s="1" t="s">
        <v>0</v>
      </c>
      <c r="AU3" s="1"/>
      <c r="AV3" s="1" t="s">
        <v>6</v>
      </c>
      <c r="AW3" s="1"/>
      <c r="AX3" s="1" t="s">
        <v>7</v>
      </c>
      <c r="AY3" s="1"/>
      <c r="AZ3" s="1" t="s">
        <v>8</v>
      </c>
      <c r="BA3" s="1"/>
      <c r="BB3" s="1" t="s">
        <v>9</v>
      </c>
      <c r="BC3" s="1"/>
      <c r="BD3" s="1" t="s">
        <v>10</v>
      </c>
      <c r="BE3" s="1"/>
      <c r="BF3" s="1" t="s">
        <v>11</v>
      </c>
      <c r="BG3" s="1"/>
      <c r="BH3" s="1" t="s">
        <v>12</v>
      </c>
      <c r="BI3" s="1"/>
      <c r="BJ3" s="1" t="s">
        <v>13</v>
      </c>
    </row>
    <row r="4" spans="2:62" x14ac:dyDescent="0.3"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90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H4" s="12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</row>
    <row r="5" spans="2:62" s="6" customFormat="1" ht="29.4" thickBot="1" x14ac:dyDescent="0.35">
      <c r="B5" s="14" t="s">
        <v>181</v>
      </c>
      <c r="AH5" s="15" t="s">
        <v>183</v>
      </c>
    </row>
    <row r="6" spans="2:62" s="6" customFormat="1" x14ac:dyDescent="0.3">
      <c r="B6" s="15" t="s">
        <v>1</v>
      </c>
      <c r="AH6" s="15" t="s">
        <v>1</v>
      </c>
    </row>
    <row r="7" spans="2:62" x14ac:dyDescent="0.3">
      <c r="B7" s="16" t="s">
        <v>2</v>
      </c>
      <c r="D7" s="4">
        <v>215879</v>
      </c>
      <c r="F7" s="4">
        <v>257922</v>
      </c>
      <c r="H7" s="4">
        <v>281845</v>
      </c>
      <c r="J7" s="4">
        <v>328969</v>
      </c>
      <c r="L7" s="4">
        <v>296278</v>
      </c>
      <c r="N7" s="17">
        <f>'IS Modelling'!N28</f>
        <v>392536</v>
      </c>
      <c r="O7" s="17"/>
      <c r="P7" s="17">
        <f>'IS Modelling'!P28</f>
        <v>544720</v>
      </c>
      <c r="Q7" s="17"/>
      <c r="R7" s="17">
        <f>'IS Modelling'!R28</f>
        <v>689482</v>
      </c>
      <c r="S7" s="17"/>
      <c r="T7" s="17">
        <f>'IS Modelling'!T28</f>
        <v>716551.1</v>
      </c>
      <c r="U7" s="17"/>
      <c r="V7" s="17">
        <f>'IS Modelling'!V28</f>
        <v>769723.65500000003</v>
      </c>
      <c r="W7" s="17"/>
      <c r="X7" s="17">
        <f>'IS Modelling'!X28</f>
        <v>833204.83774999995</v>
      </c>
      <c r="Y7" s="17"/>
      <c r="Z7" s="17">
        <f>'IS Modelling'!Z28</f>
        <v>726840.07963749999</v>
      </c>
      <c r="AA7" s="17"/>
      <c r="AB7" s="17">
        <f>'IS Modelling'!AB28</f>
        <v>723419.08361937501</v>
      </c>
      <c r="AC7" s="17"/>
      <c r="AD7" s="17">
        <f>'IS Modelling'!AD28</f>
        <v>724530.23780034389</v>
      </c>
      <c r="AH7" s="16" t="s">
        <v>2</v>
      </c>
      <c r="AJ7" s="18">
        <f>D7/D$10</f>
        <v>0.77664932616688609</v>
      </c>
      <c r="AL7" s="18">
        <f>F7/F$10</f>
        <v>0.82470383219555865</v>
      </c>
      <c r="AN7" s="18">
        <f>H7/H$10</f>
        <v>0.69683236662661385</v>
      </c>
      <c r="AP7" s="18">
        <f>J7/J$10</f>
        <v>0.67228317846202268</v>
      </c>
      <c r="AR7" s="18">
        <f>L7/L$10</f>
        <v>0.606155709498304</v>
      </c>
      <c r="AT7" s="18">
        <f>N7/N$10</f>
        <v>0.7014164453759274</v>
      </c>
      <c r="AV7" s="18">
        <f>P7/P$10</f>
        <v>0.71490584594726592</v>
      </c>
      <c r="AX7" s="18">
        <f>R7/R$10</f>
        <v>0.71721204554573303</v>
      </c>
      <c r="AZ7" s="18">
        <f>T7/T$10</f>
        <v>0.69134984763262264</v>
      </c>
      <c r="BB7" s="18">
        <f>V7/V$10</f>
        <v>0.68096811056016437</v>
      </c>
      <c r="BD7" s="18">
        <f>X7/X$10</f>
        <v>0.67746848615715527</v>
      </c>
      <c r="BF7" s="18">
        <f>Z7/Z$10</f>
        <v>0.62487186995473354</v>
      </c>
      <c r="BH7" s="18">
        <f>AB7/AB$10</f>
        <v>0.61224789526824863</v>
      </c>
      <c r="BJ7" s="18">
        <f>AD7/AD$10</f>
        <v>0.6009717378089604</v>
      </c>
    </row>
    <row r="8" spans="2:62" x14ac:dyDescent="0.3">
      <c r="B8" s="16" t="s">
        <v>3</v>
      </c>
      <c r="D8" s="4">
        <v>0</v>
      </c>
      <c r="F8" s="4">
        <v>0</v>
      </c>
      <c r="H8" s="4">
        <v>30944</v>
      </c>
      <c r="J8" s="4">
        <v>42968</v>
      </c>
      <c r="L8" s="4">
        <v>49138</v>
      </c>
      <c r="N8" s="17">
        <f>'IS Modelling'!N29</f>
        <v>81077.7</v>
      </c>
      <c r="O8" s="17"/>
      <c r="P8" s="17">
        <f>'IS Modelling'!P29</f>
        <v>105401.01</v>
      </c>
      <c r="Q8" s="17"/>
      <c r="R8" s="17">
        <f>'IS Modelling'!R29</f>
        <v>126481.21199999998</v>
      </c>
      <c r="S8" s="17"/>
      <c r="T8" s="17">
        <f>'IS Modelling'!T29</f>
        <v>145453.39379999996</v>
      </c>
      <c r="U8" s="17"/>
      <c r="V8" s="17">
        <f>'IS Modelling'!V29</f>
        <v>159998.73317999998</v>
      </c>
      <c r="W8" s="17"/>
      <c r="X8" s="17">
        <f>'IS Modelling'!X29</f>
        <v>175998.60649799998</v>
      </c>
      <c r="Y8" s="17"/>
      <c r="Z8" s="17">
        <f>'IS Modelling'!Z29</f>
        <v>193598.46714779999</v>
      </c>
      <c r="AA8" s="17"/>
      <c r="AB8" s="17">
        <f>'IS Modelling'!AB29</f>
        <v>203278.39050519001</v>
      </c>
      <c r="AC8" s="17"/>
      <c r="AD8" s="17">
        <f>'IS Modelling'!AD29</f>
        <v>213442.31003044953</v>
      </c>
      <c r="AH8" s="16" t="s">
        <v>3</v>
      </c>
      <c r="AJ8" s="18">
        <f t="shared" ref="AJ8:BJ11" si="0">D8/D$10</f>
        <v>0</v>
      </c>
      <c r="AL8" s="18">
        <f t="shared" si="0"/>
        <v>0</v>
      </c>
      <c r="AN8" s="18">
        <f t="shared" si="0"/>
        <v>7.6505812602295373E-2</v>
      </c>
      <c r="AP8" s="18">
        <f t="shared" si="0"/>
        <v>8.7809683016199666E-2</v>
      </c>
      <c r="AR8" s="18">
        <f t="shared" si="0"/>
        <v>0.10053152530166823</v>
      </c>
      <c r="AT8" s="18">
        <f t="shared" si="0"/>
        <v>0.14487647536342099</v>
      </c>
      <c r="AV8" s="18">
        <f t="shared" si="0"/>
        <v>0.13833124948183698</v>
      </c>
      <c r="AX8" s="18">
        <f t="shared" si="0"/>
        <v>0.13156811748765523</v>
      </c>
      <c r="AZ8" s="18">
        <f t="shared" si="0"/>
        <v>0.14033776745479537</v>
      </c>
      <c r="BB8" s="18">
        <f t="shared" si="0"/>
        <v>0.1415495474484339</v>
      </c>
      <c r="BD8" s="18">
        <f t="shared" si="0"/>
        <v>0.14310227702463782</v>
      </c>
      <c r="BF8" s="18">
        <f t="shared" si="0"/>
        <v>0.16643858749141879</v>
      </c>
      <c r="BH8" s="18">
        <f t="shared" si="0"/>
        <v>0.17203965109358701</v>
      </c>
      <c r="BJ8" s="18">
        <f t="shared" si="0"/>
        <v>0.17704270890113744</v>
      </c>
    </row>
    <row r="9" spans="2:62" ht="15" thickBot="1" x14ac:dyDescent="0.35">
      <c r="B9" s="19" t="s">
        <v>4</v>
      </c>
      <c r="C9" s="5"/>
      <c r="D9" s="5">
        <v>62083</v>
      </c>
      <c r="E9" s="5"/>
      <c r="F9" s="5">
        <v>54823</v>
      </c>
      <c r="G9" s="5"/>
      <c r="H9" s="5">
        <v>91677</v>
      </c>
      <c r="I9" s="5"/>
      <c r="J9" s="5">
        <v>117394</v>
      </c>
      <c r="K9" s="5"/>
      <c r="L9" s="5">
        <v>143366</v>
      </c>
      <c r="M9" s="5"/>
      <c r="N9" s="20">
        <f>'IS Modelling'!N30</f>
        <v>86019.599999999991</v>
      </c>
      <c r="O9" s="20"/>
      <c r="P9" s="20">
        <f>'IS Modelling'!P30</f>
        <v>111825.48</v>
      </c>
      <c r="Q9" s="20"/>
      <c r="R9" s="20">
        <f>'IS Modelling'!R30</f>
        <v>145373.12400000001</v>
      </c>
      <c r="S9" s="20"/>
      <c r="T9" s="20">
        <f>'IS Modelling'!T30</f>
        <v>174447.7488</v>
      </c>
      <c r="U9" s="20"/>
      <c r="V9" s="20">
        <f>'IS Modelling'!V30</f>
        <v>200614.91111999998</v>
      </c>
      <c r="W9" s="20"/>
      <c r="X9" s="20">
        <f>'IS Modelling'!X30</f>
        <v>220676.40223199999</v>
      </c>
      <c r="Y9" s="20"/>
      <c r="Z9" s="20">
        <f>'IS Modelling'!Z30</f>
        <v>242744.04245520002</v>
      </c>
      <c r="AA9" s="20"/>
      <c r="AB9" s="20">
        <f>'IS Modelling'!AB30</f>
        <v>254881.24457796002</v>
      </c>
      <c r="AC9" s="20"/>
      <c r="AD9" s="20">
        <f>'IS Modelling'!AD30</f>
        <v>267625.30680685805</v>
      </c>
      <c r="AH9" s="16" t="s">
        <v>4</v>
      </c>
      <c r="AJ9" s="18">
        <f t="shared" si="0"/>
        <v>0.22335067383311388</v>
      </c>
      <c r="AL9" s="18">
        <f t="shared" si="0"/>
        <v>0.17529616780444132</v>
      </c>
      <c r="AN9" s="18">
        <f t="shared" si="0"/>
        <v>0.22666182077109076</v>
      </c>
      <c r="AP9" s="18">
        <f t="shared" si="0"/>
        <v>0.2399071385217777</v>
      </c>
      <c r="AR9" s="18">
        <f t="shared" si="0"/>
        <v>0.2933127652000278</v>
      </c>
      <c r="AT9" s="18">
        <f t="shared" si="0"/>
        <v>0.15370707926065155</v>
      </c>
      <c r="AV9" s="18">
        <f t="shared" si="0"/>
        <v>0.14676290457089711</v>
      </c>
      <c r="AX9" s="18">
        <f t="shared" si="0"/>
        <v>0.1512198369666119</v>
      </c>
      <c r="AZ9" s="18">
        <f t="shared" si="0"/>
        <v>0.16831238491258199</v>
      </c>
      <c r="BB9" s="18">
        <f t="shared" si="0"/>
        <v>0.17748234199140167</v>
      </c>
      <c r="BD9" s="18">
        <f t="shared" si="0"/>
        <v>0.17942923681820702</v>
      </c>
      <c r="BF9" s="18">
        <f t="shared" si="0"/>
        <v>0.20868954255384764</v>
      </c>
      <c r="BH9" s="18">
        <f t="shared" si="0"/>
        <v>0.2157124536381643</v>
      </c>
      <c r="BJ9" s="18">
        <f t="shared" si="0"/>
        <v>0.2219855532899021</v>
      </c>
    </row>
    <row r="10" spans="2:62" s="6" customFormat="1" x14ac:dyDescent="0.3">
      <c r="B10" s="15" t="s">
        <v>5</v>
      </c>
      <c r="D10" s="6">
        <f>SUM(D7:D9)</f>
        <v>277962</v>
      </c>
      <c r="F10" s="6">
        <f>SUM(F7:F9)</f>
        <v>312745</v>
      </c>
      <c r="H10" s="6">
        <f>SUM(H7:H9)</f>
        <v>404466</v>
      </c>
      <c r="J10" s="6">
        <f>SUM(J7:J9)</f>
        <v>489331</v>
      </c>
      <c r="L10" s="6">
        <f>SUM(L7:L9)</f>
        <v>488782</v>
      </c>
      <c r="N10" s="21">
        <f>SUM(N7:N9)</f>
        <v>559633.30000000005</v>
      </c>
      <c r="O10" s="21"/>
      <c r="P10" s="21">
        <f>SUM(P7:P9)</f>
        <v>761946.49</v>
      </c>
      <c r="Q10" s="21"/>
      <c r="R10" s="21">
        <f>SUM(R7:R9)</f>
        <v>961336.33599999989</v>
      </c>
      <c r="S10" s="21"/>
      <c r="T10" s="21">
        <f>SUM(T7:T9)</f>
        <v>1036452.2426</v>
      </c>
      <c r="U10" s="21"/>
      <c r="V10" s="21">
        <f>SUM(V7:V9)</f>
        <v>1130337.2993000001</v>
      </c>
      <c r="W10" s="21"/>
      <c r="X10" s="21">
        <f>SUM(X7:X9)</f>
        <v>1229879.8464799998</v>
      </c>
      <c r="Y10" s="21"/>
      <c r="Z10" s="21">
        <f>SUM(Z7:Z9)</f>
        <v>1163182.5892405</v>
      </c>
      <c r="AA10" s="21"/>
      <c r="AB10" s="21">
        <f>SUM(AB7:AB9)</f>
        <v>1181578.7187025251</v>
      </c>
      <c r="AC10" s="21"/>
      <c r="AD10" s="21">
        <f>SUM(AD7:AD9)</f>
        <v>1205597.8546376515</v>
      </c>
      <c r="AH10" s="15" t="s">
        <v>5</v>
      </c>
      <c r="AJ10" s="18">
        <f t="shared" si="0"/>
        <v>1</v>
      </c>
      <c r="AL10" s="18">
        <f t="shared" si="0"/>
        <v>1</v>
      </c>
      <c r="AN10" s="18">
        <f t="shared" si="0"/>
        <v>1</v>
      </c>
      <c r="AP10" s="18">
        <f t="shared" si="0"/>
        <v>1</v>
      </c>
      <c r="AR10" s="18">
        <f t="shared" si="0"/>
        <v>1</v>
      </c>
      <c r="AT10" s="18">
        <f t="shared" si="0"/>
        <v>1</v>
      </c>
      <c r="AV10" s="18">
        <f t="shared" si="0"/>
        <v>1</v>
      </c>
      <c r="AX10" s="18">
        <f t="shared" si="0"/>
        <v>1</v>
      </c>
      <c r="AZ10" s="18">
        <f t="shared" si="0"/>
        <v>1</v>
      </c>
      <c r="BB10" s="18">
        <f t="shared" si="0"/>
        <v>1</v>
      </c>
      <c r="BD10" s="18">
        <f t="shared" si="0"/>
        <v>1</v>
      </c>
      <c r="BF10" s="18">
        <f t="shared" si="0"/>
        <v>1</v>
      </c>
      <c r="BH10" s="18">
        <f t="shared" si="0"/>
        <v>1</v>
      </c>
      <c r="BJ10" s="18">
        <f t="shared" si="0"/>
        <v>1</v>
      </c>
    </row>
    <row r="11" spans="2:62" x14ac:dyDescent="0.3">
      <c r="F11" s="64">
        <f>F10/D10-1</f>
        <v>0.12513580993085394</v>
      </c>
      <c r="G11" s="65"/>
      <c r="H11" s="64">
        <f>H10/F10-1</f>
        <v>0.29327727061983411</v>
      </c>
      <c r="I11" s="65"/>
      <c r="J11" s="64">
        <f>J10/H10-1</f>
        <v>0.20981986124915331</v>
      </c>
      <c r="K11" s="65"/>
      <c r="L11" s="64">
        <f>L10/J10-1</f>
        <v>-1.1219399547545139E-3</v>
      </c>
      <c r="M11" s="65"/>
      <c r="N11" s="64">
        <f>N10/L10-1</f>
        <v>0.14495480602804522</v>
      </c>
      <c r="O11" s="66"/>
      <c r="P11" s="64">
        <f>P10/N10-1</f>
        <v>0.3615102782482742</v>
      </c>
      <c r="Q11" s="66"/>
      <c r="R11" s="64">
        <f>R10/P10-1</f>
        <v>0.26168484088692368</v>
      </c>
      <c r="S11" s="66"/>
      <c r="T11" s="64">
        <f>T10/R10-1</f>
        <v>7.813696807981696E-2</v>
      </c>
      <c r="U11" s="66"/>
      <c r="V11" s="64">
        <f>V10/T10-1</f>
        <v>9.0583099578697368E-2</v>
      </c>
      <c r="W11" s="66"/>
      <c r="X11" s="64">
        <f>X10/V10-1</f>
        <v>8.8064462918851616E-2</v>
      </c>
      <c r="Y11" s="66"/>
      <c r="Z11" s="64">
        <f>Z10/X10-1</f>
        <v>-5.4230709959506962E-2</v>
      </c>
      <c r="AA11" s="66"/>
      <c r="AB11" s="64">
        <f>AB10/Z10-1</f>
        <v>1.581534114436578E-2</v>
      </c>
      <c r="AC11" s="66"/>
      <c r="AD11" s="64">
        <f>AD10/AB10-1</f>
        <v>2.0328003166391939E-2</v>
      </c>
      <c r="AL11" s="4">
        <f t="shared" si="0"/>
        <v>4.0012089699548816E-7</v>
      </c>
    </row>
    <row r="12" spans="2:62" s="6" customFormat="1" ht="15" thickBot="1" x14ac:dyDescent="0.35">
      <c r="B12" s="14" t="s">
        <v>14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H12" s="15" t="s">
        <v>14</v>
      </c>
    </row>
    <row r="13" spans="2:62" ht="28.8" x14ac:dyDescent="0.3">
      <c r="B13" s="16" t="s">
        <v>15</v>
      </c>
      <c r="D13" s="4">
        <v>46077</v>
      </c>
      <c r="F13" s="4">
        <v>62127</v>
      </c>
      <c r="H13" s="4">
        <v>101963</v>
      </c>
      <c r="J13" s="4">
        <v>107486</v>
      </c>
      <c r="L13" s="4">
        <v>131284</v>
      </c>
      <c r="N13" s="17">
        <f>'IS Modelling'!N122*'Financial Statements'!N$10</f>
        <v>150314.24675458591</v>
      </c>
      <c r="O13" s="17"/>
      <c r="P13" s="17">
        <f>'IS Modelling'!P122*'Financial Statements'!P10</f>
        <v>204654.391923516</v>
      </c>
      <c r="Q13" s="17"/>
      <c r="R13" s="17">
        <f>'IS Modelling'!R122*'Financial Statements'!R10</f>
        <v>258209.34391083138</v>
      </c>
      <c r="S13" s="17"/>
      <c r="T13" s="17">
        <f>'IS Modelling'!T122*'Financial Statements'!T10</f>
        <v>278385.03917390248</v>
      </c>
      <c r="U13" s="17"/>
      <c r="V13" s="17">
        <f>'IS Modelling'!V122*'Financial Statements'!V10</f>
        <v>303602.01889861166</v>
      </c>
      <c r="W13" s="17"/>
      <c r="X13" s="17">
        <f>'IS Modelling'!X122*'Financial Statements'!X10</f>
        <v>330338.56763399695</v>
      </c>
      <c r="Y13" s="17"/>
      <c r="Z13" s="17">
        <f>'IS Modelling'!Z122*'Financial Statements'!Z10</f>
        <v>312424.07258419867</v>
      </c>
      <c r="AA13" s="17"/>
      <c r="AB13" s="17">
        <f>'IS Modelling'!AB122*'Financial Statements'!AB10</f>
        <v>317365.16587382986</v>
      </c>
      <c r="AC13" s="17"/>
      <c r="AD13" s="17">
        <f>'IS Modelling'!AD122*'Financial Statements'!AD10</f>
        <v>323816.5659706156</v>
      </c>
      <c r="AH13" s="16" t="s">
        <v>15</v>
      </c>
      <c r="AJ13" s="18">
        <f t="shared" ref="AJ13:BJ19" si="1">D13/D$10</f>
        <v>0.1657672631510782</v>
      </c>
      <c r="AL13" s="18">
        <f t="shared" si="1"/>
        <v>0.19865065788421876</v>
      </c>
      <c r="AN13" s="18">
        <f t="shared" si="1"/>
        <v>0.25209288296173227</v>
      </c>
      <c r="AP13" s="18">
        <f t="shared" si="1"/>
        <v>0.21965908556784672</v>
      </c>
      <c r="AR13" s="18">
        <f t="shared" si="1"/>
        <v>0.26859417900004501</v>
      </c>
      <c r="AT13" s="18">
        <f t="shared" si="1"/>
        <v>0.26859417900004501</v>
      </c>
      <c r="AV13" s="18">
        <f t="shared" si="1"/>
        <v>0.26859417900004501</v>
      </c>
      <c r="AX13" s="18">
        <f t="shared" si="1"/>
        <v>0.26859417900004501</v>
      </c>
      <c r="AZ13" s="18">
        <f t="shared" si="1"/>
        <v>0.26859417900004501</v>
      </c>
      <c r="BB13" s="18">
        <f t="shared" si="1"/>
        <v>0.26859417900004501</v>
      </c>
      <c r="BD13" s="18">
        <f t="shared" si="1"/>
        <v>0.26859417900004501</v>
      </c>
      <c r="BF13" s="18">
        <f t="shared" si="1"/>
        <v>0.26859417900004501</v>
      </c>
      <c r="BH13" s="18">
        <f t="shared" si="1"/>
        <v>0.26859417900004501</v>
      </c>
      <c r="BJ13" s="18">
        <f t="shared" si="1"/>
        <v>0.26859417900004501</v>
      </c>
    </row>
    <row r="14" spans="2:62" x14ac:dyDescent="0.3">
      <c r="B14" s="16" t="s">
        <v>16</v>
      </c>
      <c r="D14" s="4">
        <v>96442</v>
      </c>
      <c r="F14" s="4">
        <v>81759</v>
      </c>
      <c r="H14" s="4">
        <v>104721</v>
      </c>
      <c r="J14" s="4">
        <v>119186</v>
      </c>
      <c r="L14" s="4">
        <v>108290</v>
      </c>
      <c r="N14" s="17">
        <f>'IS Modelling'!N73</f>
        <v>102808.59899999999</v>
      </c>
      <c r="O14" s="17"/>
      <c r="P14" s="17">
        <f>'IS Modelling'!P73</f>
        <v>134683.87469999999</v>
      </c>
      <c r="Q14" s="17"/>
      <c r="R14" s="17">
        <f>'IS Modelling'!R73</f>
        <v>174213.21408000001</v>
      </c>
      <c r="S14" s="17"/>
      <c r="T14" s="17">
        <f>'IS Modelling'!T73</f>
        <v>205541.316078</v>
      </c>
      <c r="U14" s="17"/>
      <c r="V14" s="17">
        <f>'IS Modelling'!V73</f>
        <v>234525.03009899997</v>
      </c>
      <c r="W14" s="17"/>
      <c r="X14" s="17">
        <f>'IS Modelling'!X73</f>
        <v>257572.79762639999</v>
      </c>
      <c r="Y14" s="17"/>
      <c r="Z14" s="17">
        <f>'IS Modelling'!Z73</f>
        <v>277639.520132415</v>
      </c>
      <c r="AA14" s="17"/>
      <c r="AB14" s="17">
        <f>'IS Modelling'!AB73</f>
        <v>290328.60613903578</v>
      </c>
      <c r="AC14" s="17"/>
      <c r="AD14" s="17">
        <f>'IS Modelling'!AD73</f>
        <v>303793.24244598759</v>
      </c>
      <c r="AH14" s="16" t="s">
        <v>16</v>
      </c>
      <c r="AJ14" s="18">
        <f t="shared" si="1"/>
        <v>0.3469610954015297</v>
      </c>
      <c r="AL14" s="18">
        <f t="shared" si="1"/>
        <v>0.2614238437065341</v>
      </c>
      <c r="AN14" s="18">
        <f t="shared" si="1"/>
        <v>0.25891175030781327</v>
      </c>
      <c r="AP14" s="18">
        <f t="shared" si="1"/>
        <v>0.24356928132491096</v>
      </c>
      <c r="AR14" s="18">
        <f t="shared" si="1"/>
        <v>0.221550711769255</v>
      </c>
      <c r="AT14" s="18">
        <f t="shared" si="1"/>
        <v>0.18370707926065152</v>
      </c>
      <c r="AV14" s="18">
        <f t="shared" si="1"/>
        <v>0.17676290457089708</v>
      </c>
      <c r="AX14" s="18">
        <f t="shared" si="1"/>
        <v>0.1812198369666119</v>
      </c>
      <c r="AZ14" s="18">
        <f t="shared" si="1"/>
        <v>0.19831238491258199</v>
      </c>
      <c r="BB14" s="18">
        <f t="shared" si="1"/>
        <v>0.20748234199140167</v>
      </c>
      <c r="BD14" s="18">
        <f t="shared" si="1"/>
        <v>0.20942923681820702</v>
      </c>
      <c r="BF14" s="18">
        <f t="shared" si="1"/>
        <v>0.23868954255384764</v>
      </c>
      <c r="BH14" s="18">
        <f t="shared" si="1"/>
        <v>0.2457124536381643</v>
      </c>
      <c r="BJ14" s="18">
        <f t="shared" si="1"/>
        <v>0.25198555328990213</v>
      </c>
    </row>
    <row r="15" spans="2:62" ht="28.8" x14ac:dyDescent="0.3">
      <c r="B15" s="16" t="s">
        <v>45</v>
      </c>
      <c r="N15" s="17">
        <f>'BS Modelling'!N89</f>
        <v>6337.0612499999997</v>
      </c>
      <c r="O15" s="17"/>
      <c r="P15" s="17">
        <f>'BS Modelling'!P89</f>
        <v>6337.0612499999997</v>
      </c>
      <c r="Q15" s="17"/>
      <c r="R15" s="17">
        <f>'BS Modelling'!R89</f>
        <v>6337.0612499999997</v>
      </c>
      <c r="S15" s="17"/>
      <c r="T15" s="17">
        <f>'BS Modelling'!T89</f>
        <v>6337.0612499999997</v>
      </c>
      <c r="U15" s="17"/>
      <c r="V15" s="17">
        <f>'BS Modelling'!V89</f>
        <v>248094</v>
      </c>
      <c r="W15" s="17"/>
      <c r="X15" s="17">
        <f>'BS Modelling'!X89</f>
        <v>0</v>
      </c>
      <c r="Y15" s="17"/>
      <c r="Z15" s="17">
        <f>'BS Modelling'!Z89</f>
        <v>0</v>
      </c>
      <c r="AA15" s="17"/>
      <c r="AB15" s="17">
        <f>'BS Modelling'!AB89</f>
        <v>0</v>
      </c>
      <c r="AC15" s="17"/>
      <c r="AD15" s="17">
        <f>'BS Modelling'!AD89</f>
        <v>0</v>
      </c>
      <c r="AJ15" s="18"/>
      <c r="AL15" s="18"/>
      <c r="AN15" s="18"/>
      <c r="AP15" s="18"/>
      <c r="AR15" s="18"/>
      <c r="AT15" s="18"/>
      <c r="AV15" s="18"/>
      <c r="AX15" s="18"/>
      <c r="AZ15" s="18"/>
      <c r="BB15" s="18"/>
      <c r="BD15" s="18"/>
      <c r="BF15" s="18"/>
      <c r="BH15" s="18"/>
      <c r="BJ15" s="18"/>
    </row>
    <row r="16" spans="2:62" ht="28.8" x14ac:dyDescent="0.3">
      <c r="B16" s="16" t="s">
        <v>46</v>
      </c>
      <c r="L16" s="17"/>
      <c r="N16" s="17">
        <f>'IS Modelling'!N108+'IS Modelling'!N116</f>
        <v>30361.638008918671</v>
      </c>
      <c r="O16" s="17"/>
      <c r="P16" s="17">
        <f>'IS Modelling'!P108+'IS Modelling'!P116</f>
        <v>33130.497167088804</v>
      </c>
      <c r="Q16" s="17"/>
      <c r="R16" s="17">
        <f>'IS Modelling'!R108+'IS Modelling'!R116</f>
        <v>36044.344349672261</v>
      </c>
      <c r="S16" s="17"/>
      <c r="T16" s="17">
        <f>'IS Modelling'!T108+'IS Modelling'!T116</f>
        <v>39768.414445415772</v>
      </c>
      <c r="U16" s="17"/>
      <c r="V16" s="17">
        <f>'IS Modelling'!V108+'IS Modelling'!V116</f>
        <v>42719.002839727349</v>
      </c>
      <c r="W16" s="17"/>
      <c r="X16" s="17">
        <f>'IS Modelling'!X108+'IS Modelling'!X116</f>
        <v>43565.498071681672</v>
      </c>
      <c r="Y16" s="17"/>
      <c r="Z16" s="17">
        <f>'IS Modelling'!Z108+'IS Modelling'!Z116</f>
        <v>46607.99400283429</v>
      </c>
      <c r="AA16" s="17"/>
      <c r="AB16" s="17">
        <f>'IS Modelling'!AB108+'IS Modelling'!AB116</f>
        <v>46976.49321959159</v>
      </c>
      <c r="AC16" s="17"/>
      <c r="AD16" s="17">
        <f>'IS Modelling'!AD108+'IS Modelling'!AD116</f>
        <v>49899.501068104553</v>
      </c>
      <c r="AJ16" s="18"/>
      <c r="AL16" s="18"/>
      <c r="AN16" s="18"/>
      <c r="AP16" s="18"/>
      <c r="AR16" s="18"/>
      <c r="AT16" s="18"/>
      <c r="AV16" s="18"/>
      <c r="AX16" s="18"/>
      <c r="AZ16" s="18"/>
      <c r="BB16" s="18"/>
      <c r="BD16" s="18"/>
      <c r="BF16" s="18"/>
      <c r="BH16" s="18"/>
      <c r="BJ16" s="18"/>
    </row>
    <row r="17" spans="2:62" ht="28.8" x14ac:dyDescent="0.3">
      <c r="B17" s="22" t="s">
        <v>17</v>
      </c>
      <c r="C17" s="23"/>
      <c r="D17" s="23">
        <v>74883</v>
      </c>
      <c r="E17" s="23"/>
      <c r="F17" s="23">
        <v>86844</v>
      </c>
      <c r="G17" s="23"/>
      <c r="H17" s="23">
        <v>108594</v>
      </c>
      <c r="I17" s="23"/>
      <c r="J17" s="23">
        <v>121145</v>
      </c>
      <c r="K17" s="23"/>
      <c r="L17" s="23">
        <v>143686</v>
      </c>
      <c r="M17" s="23"/>
      <c r="N17" s="24">
        <f>'IS Modelling'!N123*'Financial Statements'!N10-N15-N16</f>
        <v>119998.62474108135</v>
      </c>
      <c r="O17" s="24"/>
      <c r="P17" s="24">
        <f>'IS Modelling'!P123*'Financial Statements'!P10-P15-P16</f>
        <v>166257.99388291122</v>
      </c>
      <c r="Q17" s="24"/>
      <c r="R17" s="24">
        <f>'IS Modelling'!R123*'Financial Statements'!R10-R15-R16</f>
        <v>207566.04176032773</v>
      </c>
      <c r="S17" s="24"/>
      <c r="T17" s="24">
        <f>'IS Modelling'!T123*'Financial Statements'!T10-T15-T16</f>
        <v>213007.58495458422</v>
      </c>
      <c r="U17" s="24"/>
      <c r="V17" s="95">
        <f>T17*(1+10%)</f>
        <v>234308.34345004265</v>
      </c>
      <c r="W17" s="24"/>
      <c r="X17" s="24">
        <f>'IS Modelling'!X123*'Financial Statements'!X10-X15-X16</f>
        <v>263904.46354831831</v>
      </c>
      <c r="Y17" s="24"/>
      <c r="Z17" s="24">
        <f>'IS Modelling'!Z123*'Financial Statements'!Z10-Z15-Z16</f>
        <v>244187.65330729072</v>
      </c>
      <c r="AA17" s="24"/>
      <c r="AB17" s="24">
        <f>'IS Modelling'!AB123*'Financial Statements'!AB10-AB15-AB16</f>
        <v>248418.18645603969</v>
      </c>
      <c r="AC17" s="24"/>
      <c r="AD17" s="24">
        <f>'IS Modelling'!AD123*'Financial Statements'!AD10-AD15-AD16</f>
        <v>251499.96259130831</v>
      </c>
      <c r="AH17" s="16" t="s">
        <v>17</v>
      </c>
      <c r="AJ17" s="18">
        <f t="shared" si="1"/>
        <v>0.26940013383124312</v>
      </c>
      <c r="AL17" s="18">
        <f t="shared" si="1"/>
        <v>0.27768309645238132</v>
      </c>
      <c r="AN17" s="18">
        <f t="shared" si="1"/>
        <v>0.26848733886161014</v>
      </c>
      <c r="AP17" s="18">
        <f t="shared" si="1"/>
        <v>0.24757270640936299</v>
      </c>
      <c r="AR17" s="18">
        <f t="shared" si="1"/>
        <v>0.29396745379330663</v>
      </c>
      <c r="AT17" s="18">
        <f t="shared" si="1"/>
        <v>0.21442366767860552</v>
      </c>
      <c r="AV17" s="18">
        <f t="shared" si="1"/>
        <v>0.21820166647517625</v>
      </c>
      <c r="AX17" s="18">
        <f t="shared" si="1"/>
        <v>0.2159140708484858</v>
      </c>
      <c r="AZ17" s="18">
        <f t="shared" si="1"/>
        <v>0.20551606354793778</v>
      </c>
      <c r="BB17" s="18">
        <f t="shared" si="1"/>
        <v>0.20729064111672338</v>
      </c>
      <c r="BD17" s="18">
        <f t="shared" si="1"/>
        <v>0.21457743559554288</v>
      </c>
      <c r="BF17" s="18">
        <f t="shared" si="1"/>
        <v>0.20993062960711356</v>
      </c>
      <c r="BH17" s="18">
        <f t="shared" si="1"/>
        <v>0.21024260383499813</v>
      </c>
      <c r="BJ17" s="18">
        <f t="shared" si="1"/>
        <v>0.20861016102827912</v>
      </c>
    </row>
    <row r="18" spans="2:62" s="6" customFormat="1" ht="15" thickBot="1" x14ac:dyDescent="0.35">
      <c r="B18" s="14" t="s">
        <v>18</v>
      </c>
      <c r="C18" s="25"/>
      <c r="D18" s="25">
        <f>SUM(D13:D17)</f>
        <v>217402</v>
      </c>
      <c r="E18" s="25"/>
      <c r="F18" s="25">
        <f>SUM(F13:F17)</f>
        <v>230730</v>
      </c>
      <c r="G18" s="25"/>
      <c r="H18" s="25">
        <f>SUM(H13:H17)</f>
        <v>315278</v>
      </c>
      <c r="I18" s="25"/>
      <c r="J18" s="25">
        <f>SUM(J13:J17)</f>
        <v>347817</v>
      </c>
      <c r="K18" s="25"/>
      <c r="L18" s="25">
        <f>SUM(L13:L17)</f>
        <v>383260</v>
      </c>
      <c r="M18" s="25"/>
      <c r="N18" s="26">
        <f>SUM(N13:N17)</f>
        <v>409820.16975458595</v>
      </c>
      <c r="O18" s="26"/>
      <c r="P18" s="26">
        <f>SUM(P13:P17)</f>
        <v>545063.81892351597</v>
      </c>
      <c r="Q18" s="26"/>
      <c r="R18" s="26">
        <f>SUM(R13:R17)</f>
        <v>682370.00535083143</v>
      </c>
      <c r="S18" s="26"/>
      <c r="T18" s="26">
        <f>SUM(T13:T17)</f>
        <v>743039.41590190248</v>
      </c>
      <c r="U18" s="26"/>
      <c r="V18" s="26">
        <f>SUM(V13:V17)</f>
        <v>1063248.3952873815</v>
      </c>
      <c r="W18" s="26"/>
      <c r="X18" s="26">
        <f>SUM(X13:X17)</f>
        <v>895381.32688039704</v>
      </c>
      <c r="Y18" s="26"/>
      <c r="Z18" s="26">
        <f>SUM(Z13:Z17)</f>
        <v>880859.24002673873</v>
      </c>
      <c r="AA18" s="26"/>
      <c r="AB18" s="26">
        <f>SUM(AB13:AB17)</f>
        <v>903088.45168849686</v>
      </c>
      <c r="AC18" s="26"/>
      <c r="AD18" s="26">
        <f>SUM(AD13:AD17)</f>
        <v>929009.27207601594</v>
      </c>
      <c r="AH18" s="15" t="s">
        <v>18</v>
      </c>
      <c r="AJ18" s="18">
        <f t="shared" si="1"/>
        <v>0.78212849238385107</v>
      </c>
      <c r="AL18" s="18">
        <f t="shared" si="1"/>
        <v>0.73775759804313423</v>
      </c>
      <c r="AN18" s="18">
        <f t="shared" si="1"/>
        <v>0.77949197213115562</v>
      </c>
      <c r="AP18" s="18">
        <f t="shared" si="1"/>
        <v>0.71080107330212061</v>
      </c>
      <c r="AR18" s="18">
        <f t="shared" si="1"/>
        <v>0.78411234456260659</v>
      </c>
      <c r="AT18" s="18">
        <f t="shared" si="1"/>
        <v>0.73230125826069659</v>
      </c>
      <c r="AV18" s="18">
        <f t="shared" si="1"/>
        <v>0.71535708357094208</v>
      </c>
      <c r="AX18" s="18">
        <f t="shared" si="1"/>
        <v>0.70981401596665694</v>
      </c>
      <c r="AZ18" s="18">
        <f t="shared" si="1"/>
        <v>0.71690656391262697</v>
      </c>
      <c r="BB18" s="18">
        <f t="shared" si="1"/>
        <v>0.94064700505400844</v>
      </c>
      <c r="BD18" s="18">
        <f t="shared" si="1"/>
        <v>0.72802341581825214</v>
      </c>
      <c r="BF18" s="18">
        <f t="shared" si="1"/>
        <v>0.75728372155389267</v>
      </c>
      <c r="BH18" s="18">
        <f t="shared" si="1"/>
        <v>0.7643066326382093</v>
      </c>
      <c r="BJ18" s="18">
        <f t="shared" si="1"/>
        <v>0.77057973228994703</v>
      </c>
    </row>
    <row r="19" spans="2:62" s="6" customFormat="1" x14ac:dyDescent="0.3">
      <c r="B19" s="15" t="s">
        <v>19</v>
      </c>
      <c r="D19" s="6">
        <f>D10-D18</f>
        <v>60560</v>
      </c>
      <c r="F19" s="6">
        <f>F10-F18</f>
        <v>82015</v>
      </c>
      <c r="H19" s="6">
        <f>H10-H18</f>
        <v>89188</v>
      </c>
      <c r="J19" s="6">
        <f>J10-J18</f>
        <v>141514</v>
      </c>
      <c r="L19" s="6">
        <f>L10-L18</f>
        <v>105522</v>
      </c>
      <c r="N19" s="21">
        <f>N10-N18</f>
        <v>149813.1302454141</v>
      </c>
      <c r="O19" s="21"/>
      <c r="P19" s="21">
        <f>P10-P18</f>
        <v>216882.67107648402</v>
      </c>
      <c r="Q19" s="21"/>
      <c r="R19" s="21">
        <f>R10-R18</f>
        <v>278966.33064916846</v>
      </c>
      <c r="S19" s="21"/>
      <c r="T19" s="21">
        <f>T10-T18</f>
        <v>293412.82669809752</v>
      </c>
      <c r="U19" s="21"/>
      <c r="V19" s="21">
        <f>V10-V18</f>
        <v>67088.904012618586</v>
      </c>
      <c r="W19" s="21"/>
      <c r="X19" s="21">
        <f>X10-X18</f>
        <v>334498.51959960279</v>
      </c>
      <c r="Y19" s="21"/>
      <c r="Z19" s="21">
        <f>Z10-Z18</f>
        <v>282323.34921376128</v>
      </c>
      <c r="AA19" s="21"/>
      <c r="AB19" s="21">
        <f>AB10-AB18</f>
        <v>278490.26701402827</v>
      </c>
      <c r="AC19" s="21"/>
      <c r="AD19" s="21">
        <f>AD10-AD18</f>
        <v>276588.58256163553</v>
      </c>
      <c r="AH19" s="15" t="s">
        <v>19</v>
      </c>
      <c r="AJ19" s="18">
        <f t="shared" si="1"/>
        <v>0.21787150761614896</v>
      </c>
      <c r="AL19" s="18">
        <f t="shared" si="1"/>
        <v>0.26224240195686582</v>
      </c>
      <c r="AN19" s="18">
        <f t="shared" si="1"/>
        <v>0.22050802786884435</v>
      </c>
      <c r="AP19" s="18">
        <f t="shared" si="1"/>
        <v>0.28919892669787933</v>
      </c>
      <c r="AR19" s="18">
        <f t="shared" si="1"/>
        <v>0.21588765543739336</v>
      </c>
      <c r="AT19" s="18">
        <f t="shared" si="1"/>
        <v>0.26769874173930336</v>
      </c>
      <c r="AV19" s="18">
        <f t="shared" si="1"/>
        <v>0.28464291642905792</v>
      </c>
      <c r="AX19" s="18">
        <f t="shared" si="1"/>
        <v>0.29018598403334306</v>
      </c>
      <c r="AZ19" s="18">
        <f t="shared" si="1"/>
        <v>0.28309343608737303</v>
      </c>
      <c r="BB19" s="18">
        <f t="shared" si="1"/>
        <v>5.93529949459915E-2</v>
      </c>
      <c r="BD19" s="18">
        <f t="shared" si="1"/>
        <v>0.27197658418174786</v>
      </c>
      <c r="BF19" s="18">
        <f t="shared" si="1"/>
        <v>0.24271627844610733</v>
      </c>
      <c r="BH19" s="18">
        <f t="shared" si="1"/>
        <v>0.23569336736179075</v>
      </c>
      <c r="BJ19" s="18">
        <f t="shared" si="1"/>
        <v>0.22942026771005297</v>
      </c>
    </row>
    <row r="20" spans="2:62" s="6" customFormat="1" x14ac:dyDescent="0.3">
      <c r="B20" s="15"/>
      <c r="F20" s="64">
        <f>F19/D19-1</f>
        <v>0.35427675033025108</v>
      </c>
      <c r="G20" s="65"/>
      <c r="H20" s="64">
        <f>H19/F19-1</f>
        <v>8.7459611046759811E-2</v>
      </c>
      <c r="I20" s="65"/>
      <c r="J20" s="64">
        <f>J19/H19-1</f>
        <v>0.58669327712248287</v>
      </c>
      <c r="K20" s="65"/>
      <c r="L20" s="64">
        <f>L19/J19-1</f>
        <v>-0.25433526011560692</v>
      </c>
      <c r="M20" s="65"/>
      <c r="N20" s="64">
        <f>N19/L19-1</f>
        <v>0.41973361237859486</v>
      </c>
      <c r="O20" s="66"/>
      <c r="P20" s="64">
        <f>P19/N19-1</f>
        <v>0.44768800118655139</v>
      </c>
      <c r="Q20" s="66"/>
      <c r="R20" s="64">
        <f>R19/P19-1</f>
        <v>0.2862545876281215</v>
      </c>
      <c r="S20" s="66"/>
      <c r="T20" s="64">
        <f>T19/R19-1</f>
        <v>5.1785805173374611E-2</v>
      </c>
      <c r="U20" s="66"/>
      <c r="V20" s="64">
        <f>V19/T19-1</f>
        <v>-0.77134979146072347</v>
      </c>
      <c r="W20" s="66"/>
      <c r="X20" s="64">
        <f>X19/V19-1</f>
        <v>3.9858993006755306</v>
      </c>
      <c r="Y20" s="66"/>
      <c r="Z20" s="64">
        <f>Z19/X19-1</f>
        <v>-0.15598027294200156</v>
      </c>
      <c r="AA20" s="66"/>
      <c r="AB20" s="64">
        <f>AB19/Z19-1</f>
        <v>-1.3576922384945123E-2</v>
      </c>
      <c r="AC20" s="66"/>
      <c r="AD20" s="64">
        <f>AD19/AB19-1</f>
        <v>-6.8285490648652969E-3</v>
      </c>
      <c r="AH20" s="15"/>
      <c r="AJ20" s="18"/>
      <c r="AL20" s="18"/>
      <c r="AN20" s="18"/>
      <c r="AP20" s="18"/>
      <c r="AR20" s="18"/>
      <c r="AT20" s="18"/>
      <c r="AV20" s="18"/>
      <c r="AX20" s="18"/>
      <c r="AZ20" s="18"/>
      <c r="BB20" s="18"/>
      <c r="BD20" s="18"/>
      <c r="BF20" s="18"/>
      <c r="BH20" s="18"/>
      <c r="BJ20" s="18"/>
    </row>
    <row r="21" spans="2:62" s="6" customFormat="1" x14ac:dyDescent="0.3">
      <c r="B21" s="15" t="s">
        <v>297</v>
      </c>
      <c r="H21" s="6">
        <f>H19+'IS Modelling'!H108+'IS Modelling'!H116</f>
        <v>118247</v>
      </c>
      <c r="J21" s="6">
        <f>J19+'IS Modelling'!J108+'IS Modelling'!J116</f>
        <v>163251</v>
      </c>
      <c r="L21" s="6">
        <f>L19+'IS Modelling'!L108+'IS Modelling'!L116</f>
        <v>130204</v>
      </c>
      <c r="N21" s="21">
        <f>N19+N16</f>
        <v>180174.76825433277</v>
      </c>
      <c r="O21" s="21"/>
      <c r="P21" s="21">
        <f>P19+P16</f>
        <v>250013.16824357281</v>
      </c>
      <c r="Q21" s="21"/>
      <c r="R21" s="21">
        <f>R19+R16</f>
        <v>315010.67499884072</v>
      </c>
      <c r="S21" s="21"/>
      <c r="T21" s="21">
        <f>T19+T16</f>
        <v>333181.2411435133</v>
      </c>
      <c r="U21" s="21"/>
      <c r="V21" s="21">
        <f>V19+V16</f>
        <v>109807.90685234594</v>
      </c>
      <c r="W21" s="21"/>
      <c r="X21" s="21">
        <f>X19+X16</f>
        <v>378064.01767128444</v>
      </c>
      <c r="Y21" s="21"/>
      <c r="Z21" s="21">
        <f>Z19+Z16</f>
        <v>328931.34321659559</v>
      </c>
      <c r="AA21" s="21"/>
      <c r="AB21" s="21">
        <f>AB19+AB16</f>
        <v>325466.76023361983</v>
      </c>
      <c r="AC21" s="21"/>
      <c r="AD21" s="21">
        <f>AD19+AD16</f>
        <v>326488.08362974005</v>
      </c>
      <c r="AH21" s="15"/>
      <c r="AL21" s="27"/>
    </row>
    <row r="22" spans="2:62" x14ac:dyDescent="0.3">
      <c r="B22" s="15"/>
      <c r="F22" s="64"/>
      <c r="G22" s="65"/>
      <c r="H22" s="64"/>
      <c r="I22" s="65"/>
      <c r="J22" s="64">
        <f>J21/H21-1</f>
        <v>0.38059316515429575</v>
      </c>
      <c r="K22" s="65"/>
      <c r="L22" s="64">
        <f>L21/J21-1</f>
        <v>-0.20243061298246257</v>
      </c>
      <c r="M22" s="65"/>
      <c r="N22" s="64">
        <f>N21/L21-1</f>
        <v>0.38378827266699012</v>
      </c>
      <c r="O22" s="66"/>
      <c r="P22" s="64">
        <f>P21/N21-1</f>
        <v>0.38761476241033321</v>
      </c>
      <c r="Q22" s="66"/>
      <c r="R22" s="64">
        <f>R21/P21-1</f>
        <v>0.25997633329435166</v>
      </c>
      <c r="S22" s="66"/>
      <c r="T22" s="64">
        <f>T21/R21-1</f>
        <v>5.76823821755863E-2</v>
      </c>
      <c r="U22" s="66"/>
      <c r="V22" s="64">
        <f>V21/T21-1</f>
        <v>-0.67042590250437395</v>
      </c>
      <c r="W22" s="66"/>
      <c r="X22" s="64">
        <f>X21/V21-1</f>
        <v>2.4429580574707717</v>
      </c>
      <c r="Y22" s="66"/>
      <c r="Z22" s="64">
        <f>Z21/X21-1</f>
        <v>-0.12995861060072711</v>
      </c>
      <c r="AA22" s="66"/>
      <c r="AB22" s="64">
        <f>AB21/Z21-1</f>
        <v>-1.0532845392889123E-2</v>
      </c>
      <c r="AC22" s="66"/>
      <c r="AD22" s="64">
        <f>AD21/AB21-1</f>
        <v>3.1380267385434646E-3</v>
      </c>
      <c r="AL22" s="18"/>
    </row>
    <row r="23" spans="2:62" s="6" customFormat="1" ht="15" thickBot="1" x14ac:dyDescent="0.35">
      <c r="B23" s="14" t="s">
        <v>20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H23" s="15" t="s">
        <v>20</v>
      </c>
      <c r="AJ23" s="27"/>
      <c r="AL23" s="27"/>
      <c r="AN23" s="27"/>
      <c r="AP23" s="27"/>
      <c r="AR23" s="27"/>
      <c r="AT23" s="27"/>
      <c r="AV23" s="27"/>
      <c r="AX23" s="27"/>
      <c r="AZ23" s="27"/>
      <c r="BB23" s="27"/>
      <c r="BD23" s="27"/>
      <c r="BF23" s="27"/>
      <c r="BH23" s="27"/>
      <c r="BJ23" s="27"/>
    </row>
    <row r="24" spans="2:62" x14ac:dyDescent="0.3">
      <c r="B24" s="28" t="s">
        <v>21</v>
      </c>
      <c r="C24" s="29"/>
      <c r="D24" s="29">
        <v>133</v>
      </c>
      <c r="E24" s="29"/>
      <c r="F24" s="29">
        <v>139</v>
      </c>
      <c r="G24" s="29"/>
      <c r="H24" s="29">
        <v>320</v>
      </c>
      <c r="I24" s="29"/>
      <c r="J24" s="29">
        <v>572</v>
      </c>
      <c r="K24" s="29"/>
      <c r="L24" s="29">
        <v>1053</v>
      </c>
      <c r="M24" s="29"/>
      <c r="N24" s="30">
        <f>'IS Modelling'!N127*'Financial Statements'!L130</f>
        <v>986.18422364297703</v>
      </c>
      <c r="O24" s="30"/>
      <c r="P24" s="30">
        <f>'IS Modelling'!P127*'Financial Statements'!N130</f>
        <v>1226.5364821680171</v>
      </c>
      <c r="Q24" s="30"/>
      <c r="R24" s="30">
        <f>'IS Modelling'!R127*'Financial Statements'!P130</f>
        <v>1181.001073435722</v>
      </c>
      <c r="S24" s="30"/>
      <c r="T24" s="30">
        <f>'IS Modelling'!T127*'Financial Statements'!R130</f>
        <v>1176.9023930577825</v>
      </c>
      <c r="U24" s="17"/>
      <c r="V24" s="30">
        <f>'IS Modelling'!V127*'Financial Statements'!T130</f>
        <v>1319.9097138005211</v>
      </c>
      <c r="W24" s="17"/>
      <c r="X24" s="30">
        <f>'IS Modelling'!X127*'Financial Statements'!V130</f>
        <v>2083.5721987831962</v>
      </c>
      <c r="Y24" s="17"/>
      <c r="Z24" s="30">
        <f>'IS Modelling'!Z127*'Financial Statements'!X130</f>
        <v>2280.6501032070105</v>
      </c>
      <c r="AA24" s="17"/>
      <c r="AB24" s="30">
        <f>'IS Modelling'!AB127*'Financial Statements'!Z130</f>
        <v>2520.3652923706341</v>
      </c>
      <c r="AC24" s="17"/>
      <c r="AD24" s="30">
        <f>'IS Modelling'!AD127*'Financial Statements'!AB130</f>
        <v>2683.8413443391237</v>
      </c>
      <c r="AH24" s="16" t="s">
        <v>21</v>
      </c>
      <c r="AJ24" s="18">
        <f t="shared" ref="AJ24:BJ26" si="2">D24/D$10</f>
        <v>4.7848267029306163E-4</v>
      </c>
      <c r="AL24" s="18">
        <f t="shared" si="2"/>
        <v>4.4445154998481193E-4</v>
      </c>
      <c r="AN24" s="18">
        <f t="shared" si="2"/>
        <v>7.911666246359397E-4</v>
      </c>
      <c r="AP24" s="18">
        <f t="shared" si="2"/>
        <v>1.168942903678696E-3</v>
      </c>
      <c r="AR24" s="18">
        <f t="shared" si="2"/>
        <v>2.1543346522580617E-3</v>
      </c>
      <c r="AT24" s="18">
        <f t="shared" si="2"/>
        <v>1.7621971809807903E-3</v>
      </c>
      <c r="AV24" s="18">
        <f t="shared" si="2"/>
        <v>1.6097409703508406E-3</v>
      </c>
      <c r="AX24" s="18">
        <f t="shared" si="2"/>
        <v>1.2284993599115577E-3</v>
      </c>
      <c r="AZ24" s="18">
        <f t="shared" si="2"/>
        <v>1.1355104892295427E-3</v>
      </c>
      <c r="BB24" s="18">
        <f t="shared" si="2"/>
        <v>1.1677131371475755E-3</v>
      </c>
      <c r="BD24" s="18">
        <f t="shared" si="2"/>
        <v>1.6941266293179144E-3</v>
      </c>
      <c r="BF24" s="18">
        <f t="shared" si="2"/>
        <v>1.96069828099487E-3</v>
      </c>
      <c r="BH24" s="18">
        <f t="shared" si="2"/>
        <v>2.1330489898618108E-3</v>
      </c>
      <c r="BJ24" s="18">
        <f t="shared" si="2"/>
        <v>2.2261497347685357E-3</v>
      </c>
    </row>
    <row r="25" spans="2:62" x14ac:dyDescent="0.3">
      <c r="B25" s="28" t="s">
        <v>22</v>
      </c>
      <c r="C25" s="29"/>
      <c r="D25" s="29">
        <v>6</v>
      </c>
      <c r="E25" s="29"/>
      <c r="F25" s="29">
        <v>0</v>
      </c>
      <c r="G25" s="29"/>
      <c r="H25" s="29">
        <v>8240</v>
      </c>
      <c r="I25" s="29"/>
      <c r="J25" s="29">
        <v>6523</v>
      </c>
      <c r="K25" s="29"/>
      <c r="L25" s="29">
        <v>7617</v>
      </c>
      <c r="M25" s="29"/>
      <c r="N25" s="30">
        <f>'IS Modelling'!N128*('Financial Statements'!L153+'Financial Statements'!L159+'Financial Statements'!L164)</f>
        <v>7930.5922801784909</v>
      </c>
      <c r="O25" s="30"/>
      <c r="P25" s="30">
        <f>'IS Modelling'!P128*('Financial Statements'!N153+'Financial Statements'!N159+'Financial Statements'!N164)</f>
        <v>7338.9645466090342</v>
      </c>
      <c r="Q25" s="30"/>
      <c r="R25" s="30">
        <f>'IS Modelling'!R128*('Financial Statements'!P153+'Financial Statements'!P159+'Financial Statements'!P164)</f>
        <v>7338.9645466090342</v>
      </c>
      <c r="S25" s="30"/>
      <c r="T25" s="30">
        <f>'IS Modelling'!T128*('Financial Statements'!R153+'Financial Statements'!R159+'Financial Statements'!R164)</f>
        <v>7338.9645466090342</v>
      </c>
      <c r="U25" s="17"/>
      <c r="V25" s="30">
        <f>'IS Modelling'!V128*('Financial Statements'!T153+'Financial Statements'!T159+'Financial Statements'!T164)</f>
        <v>7338.9645466090342</v>
      </c>
      <c r="W25" s="17"/>
      <c r="X25" s="30">
        <f>'IS Modelling'!X128*('Financial Statements'!V153+'Financial Statements'!V159+'Financial Statements'!V164)</f>
        <v>11832.554671389125</v>
      </c>
      <c r="Y25" s="17"/>
      <c r="Z25" s="30">
        <f>'IS Modelling'!Z128*('Financial Statements'!X153+'Financial Statements'!X159+'Financial Statements'!X164)</f>
        <v>11832.554671389125</v>
      </c>
      <c r="AA25" s="17"/>
      <c r="AB25" s="30">
        <f>'IS Modelling'!AB128*('Financial Statements'!Z153+'Financial Statements'!Z159+'Financial Statements'!Z164)</f>
        <v>11832.554671389125</v>
      </c>
      <c r="AC25" s="17"/>
      <c r="AD25" s="30">
        <f>'IS Modelling'!AD128*('Financial Statements'!AB153+'Financial Statements'!AB159+'Financial Statements'!AB164)</f>
        <v>11832.554671389125</v>
      </c>
      <c r="AH25" s="16" t="s">
        <v>22</v>
      </c>
      <c r="AJ25" s="18">
        <f t="shared" si="2"/>
        <v>2.1585684374123081E-5</v>
      </c>
      <c r="AL25" s="18">
        <f t="shared" si="2"/>
        <v>0</v>
      </c>
      <c r="AN25" s="18">
        <f t="shared" si="2"/>
        <v>2.0372540584375449E-2</v>
      </c>
      <c r="AP25" s="18">
        <f t="shared" si="2"/>
        <v>1.3330445036182052E-2</v>
      </c>
      <c r="AR25" s="18">
        <f t="shared" si="2"/>
        <v>1.5583634421889514E-2</v>
      </c>
      <c r="AT25" s="18">
        <f t="shared" si="2"/>
        <v>1.417105143703652E-2</v>
      </c>
      <c r="AV25" s="18">
        <f t="shared" si="2"/>
        <v>9.6318634483230376E-3</v>
      </c>
      <c r="AX25" s="18">
        <f t="shared" si="2"/>
        <v>7.6341279027749504E-3</v>
      </c>
      <c r="AZ25" s="18">
        <f t="shared" si="2"/>
        <v>7.0808516253472713E-3</v>
      </c>
      <c r="BB25" s="18">
        <f t="shared" si="2"/>
        <v>6.4927208463827022E-3</v>
      </c>
      <c r="BD25" s="18">
        <f t="shared" si="2"/>
        <v>9.6209029729649644E-3</v>
      </c>
      <c r="BF25" s="18">
        <f t="shared" si="2"/>
        <v>1.0172568589695957E-2</v>
      </c>
      <c r="BH25" s="18">
        <f t="shared" si="2"/>
        <v>1.0014190746751335E-2</v>
      </c>
      <c r="BJ25" s="18">
        <f t="shared" si="2"/>
        <v>9.8146779424598922E-3</v>
      </c>
    </row>
    <row r="26" spans="2:62" x14ac:dyDescent="0.3">
      <c r="B26" s="22" t="s">
        <v>23</v>
      </c>
      <c r="C26" s="23"/>
      <c r="D26" s="23">
        <v>1943</v>
      </c>
      <c r="E26" s="23"/>
      <c r="F26" s="23">
        <v>409</v>
      </c>
      <c r="G26" s="23"/>
      <c r="H26" s="23">
        <v>2926</v>
      </c>
      <c r="I26" s="23"/>
      <c r="J26" s="23">
        <v>153</v>
      </c>
      <c r="K26" s="23"/>
      <c r="L26" s="23">
        <v>263</v>
      </c>
      <c r="M26" s="23"/>
      <c r="N26" s="24">
        <f>'IS Modelling'!N129*'Financial Statements'!N$10</f>
        <v>238.05233000727318</v>
      </c>
      <c r="O26" s="24"/>
      <c r="P26" s="24">
        <f>'IS Modelling'!P129*'Financial Statements'!P$10</f>
        <v>324.11069406585256</v>
      </c>
      <c r="Q26" s="24"/>
      <c r="R26" s="24">
        <f>'IS Modelling'!R129*'Financial Statements'!R$10</f>
        <v>408.9255494722255</v>
      </c>
      <c r="S26" s="24"/>
      <c r="T26" s="24">
        <f>'IS Modelling'!T129*'Financial Statements'!T$10</f>
        <v>440.87775207835836</v>
      </c>
      <c r="U26" s="24"/>
      <c r="V26" s="24">
        <f>'IS Modelling'!V129*'Financial Statements'!V$10</f>
        <v>480.81382539690458</v>
      </c>
      <c r="W26" s="24"/>
      <c r="X26" s="24">
        <f>'IS Modelling'!X129*'Financial Statements'!X$10</f>
        <v>523.15643669444148</v>
      </c>
      <c r="Y26" s="24"/>
      <c r="Z26" s="24">
        <f>'IS Modelling'!Z129*'Financial Statements'!Z$10</f>
        <v>494.78529171261607</v>
      </c>
      <c r="AA26" s="24"/>
      <c r="AB26" s="24">
        <f>'IS Modelling'!AB129*'Financial Statements'!AB$10</f>
        <v>502.61048989426558</v>
      </c>
      <c r="AC26" s="24"/>
      <c r="AD26" s="24">
        <f>'IS Modelling'!AD129*'Financial Statements'!AD$10</f>
        <v>512.82755752429807</v>
      </c>
      <c r="AH26" s="16" t="s">
        <v>23</v>
      </c>
      <c r="AJ26" s="18">
        <f t="shared" si="2"/>
        <v>6.9901641231535248E-3</v>
      </c>
      <c r="AL26" s="18">
        <f t="shared" si="2"/>
        <v>1.3077747046315689E-3</v>
      </c>
      <c r="AN26" s="18">
        <f t="shared" si="2"/>
        <v>7.2342298240148737E-3</v>
      </c>
      <c r="AP26" s="18">
        <f t="shared" si="2"/>
        <v>3.1267179066930156E-4</v>
      </c>
      <c r="AR26" s="18">
        <f t="shared" si="2"/>
        <v>5.3807218760101643E-4</v>
      </c>
      <c r="AT26" s="18">
        <f t="shared" si="2"/>
        <v>4.25371989135159E-4</v>
      </c>
      <c r="AV26" s="18">
        <f t="shared" si="2"/>
        <v>4.2537198913515905E-4</v>
      </c>
      <c r="AX26" s="18">
        <f t="shared" si="2"/>
        <v>4.25371989135159E-4</v>
      </c>
      <c r="AZ26" s="18">
        <f t="shared" si="2"/>
        <v>4.25371989135159E-4</v>
      </c>
      <c r="BB26" s="18">
        <f t="shared" si="2"/>
        <v>4.25371989135159E-4</v>
      </c>
      <c r="BD26" s="18">
        <f t="shared" si="2"/>
        <v>4.25371989135159E-4</v>
      </c>
      <c r="BF26" s="18">
        <f t="shared" si="2"/>
        <v>4.25371989135159E-4</v>
      </c>
      <c r="BH26" s="18">
        <f t="shared" si="2"/>
        <v>4.25371989135159E-4</v>
      </c>
      <c r="BJ26" s="18">
        <f t="shared" si="2"/>
        <v>4.25371989135159E-4</v>
      </c>
    </row>
    <row r="27" spans="2:62" s="6" customFormat="1" ht="28.8" x14ac:dyDescent="0.3">
      <c r="B27" s="31" t="s">
        <v>24</v>
      </c>
      <c r="C27" s="32"/>
      <c r="D27" s="32">
        <f>D24-D25+D26</f>
        <v>2070</v>
      </c>
      <c r="E27" s="32"/>
      <c r="F27" s="32">
        <f>F24-F25+F26</f>
        <v>548</v>
      </c>
      <c r="G27" s="32"/>
      <c r="H27" s="32">
        <f>H24-H25+H26</f>
        <v>-4994</v>
      </c>
      <c r="I27" s="32"/>
      <c r="J27" s="32">
        <f>J24-J25+J26</f>
        <v>-5798</v>
      </c>
      <c r="K27" s="32"/>
      <c r="L27" s="32">
        <f>L24-L25+L26</f>
        <v>-6301</v>
      </c>
      <c r="M27" s="32"/>
      <c r="N27" s="33">
        <f>N24-N25+N26</f>
        <v>-6706.3557265282416</v>
      </c>
      <c r="O27" s="33"/>
      <c r="P27" s="33">
        <f>P24-P25+P26</f>
        <v>-5788.3173703751645</v>
      </c>
      <c r="Q27" s="33"/>
      <c r="R27" s="33">
        <f>R24-R25+R26</f>
        <v>-5749.0379237010866</v>
      </c>
      <c r="S27" s="33"/>
      <c r="T27" s="33">
        <f>T24-T25+T26</f>
        <v>-5721.1844014728931</v>
      </c>
      <c r="U27" s="33"/>
      <c r="V27" s="33">
        <f>V24-V25+V26</f>
        <v>-5538.2410074116087</v>
      </c>
      <c r="W27" s="21"/>
      <c r="X27" s="33">
        <f>X24-X25+X26</f>
        <v>-9225.8260359114865</v>
      </c>
      <c r="Y27" s="21"/>
      <c r="Z27" s="33">
        <f>Z24-Z25+Z26</f>
        <v>-9057.1192764694988</v>
      </c>
      <c r="AA27" s="21"/>
      <c r="AB27" s="33">
        <f>AB24-AB25+AB26</f>
        <v>-8809.5788891242264</v>
      </c>
      <c r="AC27" s="21"/>
      <c r="AD27" s="33">
        <f>AD24-AD25+AD26</f>
        <v>-8635.8857695257029</v>
      </c>
      <c r="AH27" s="15" t="s">
        <v>24</v>
      </c>
      <c r="AJ27" s="18">
        <f>D27/D$10</f>
        <v>7.4470611090724633E-3</v>
      </c>
      <c r="AL27" s="18">
        <f>F27/F$10</f>
        <v>1.7522262546163807E-3</v>
      </c>
      <c r="AN27" s="18">
        <f>H27/H$10</f>
        <v>-1.2347144135724634E-2</v>
      </c>
      <c r="AP27" s="18">
        <f>J27/J$10</f>
        <v>-1.1848830341834055E-2</v>
      </c>
      <c r="AR27" s="18">
        <f>L27/L$10</f>
        <v>-1.2891227582030434E-2</v>
      </c>
      <c r="AT27" s="18">
        <f>N27/N$10</f>
        <v>-1.1983482266920573E-2</v>
      </c>
      <c r="AV27" s="18">
        <f>P27/P$10</f>
        <v>-7.596750488837037E-3</v>
      </c>
      <c r="AX27" s="18">
        <f>R27/R$10</f>
        <v>-5.9802565537282332E-3</v>
      </c>
      <c r="AZ27" s="18">
        <f>T27/T$10</f>
        <v>-5.5199691469825698E-3</v>
      </c>
      <c r="BB27" s="18">
        <f>V27/V$10</f>
        <v>-4.8996357200999678E-3</v>
      </c>
      <c r="BD27" s="18">
        <f>X27/X$10</f>
        <v>-7.5014043545118909E-3</v>
      </c>
      <c r="BF27" s="18">
        <f>Z27/Z$10</f>
        <v>-7.7864983195659286E-3</v>
      </c>
      <c r="BH27" s="18">
        <f>AB27/AB$10</f>
        <v>-7.4557697677543654E-3</v>
      </c>
      <c r="BJ27" s="18">
        <f>AD27/AD$10</f>
        <v>-7.163156218556197E-3</v>
      </c>
    </row>
    <row r="28" spans="2:62" x14ac:dyDescent="0.3"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</row>
    <row r="29" spans="2:62" s="6" customFormat="1" ht="28.8" x14ac:dyDescent="0.3">
      <c r="B29" s="15" t="s">
        <v>25</v>
      </c>
      <c r="D29" s="6">
        <f>D19+D27</f>
        <v>62630</v>
      </c>
      <c r="F29" s="6">
        <f>F19+F27</f>
        <v>82563</v>
      </c>
      <c r="H29" s="6">
        <f>H19+H27</f>
        <v>84194</v>
      </c>
      <c r="J29" s="6">
        <f>J19+J27</f>
        <v>135716</v>
      </c>
      <c r="L29" s="6">
        <f>L19+L27</f>
        <v>99221</v>
      </c>
      <c r="N29" s="21">
        <f>N19+N27</f>
        <v>143106.77451888585</v>
      </c>
      <c r="O29" s="21"/>
      <c r="P29" s="21">
        <f>P19+P27</f>
        <v>211094.35370610887</v>
      </c>
      <c r="Q29" s="21"/>
      <c r="R29" s="21">
        <f>R19+R27</f>
        <v>273217.29272546736</v>
      </c>
      <c r="S29" s="21"/>
      <c r="T29" s="21">
        <f>T19+T27</f>
        <v>287691.6422966246</v>
      </c>
      <c r="U29" s="21"/>
      <c r="V29" s="21">
        <f>V19+V27</f>
        <v>61550.663005206981</v>
      </c>
      <c r="W29" s="21"/>
      <c r="X29" s="21">
        <f>X19+X27</f>
        <v>325272.69356369128</v>
      </c>
      <c r="Y29" s="21"/>
      <c r="Z29" s="21">
        <f>Z19+Z27</f>
        <v>273266.22993729176</v>
      </c>
      <c r="AA29" s="21"/>
      <c r="AB29" s="21">
        <f>AB19+AB27</f>
        <v>269680.68812490406</v>
      </c>
      <c r="AC29" s="21"/>
      <c r="AD29" s="21">
        <f>AD19+AD27</f>
        <v>267952.69679210981</v>
      </c>
      <c r="AH29" s="15" t="s">
        <v>25</v>
      </c>
      <c r="AJ29" s="18">
        <f t="shared" ref="AJ29:BJ35" si="3">D29/D$10</f>
        <v>0.22531856872522144</v>
      </c>
      <c r="AL29" s="18">
        <f t="shared" si="3"/>
        <v>0.26399462821148217</v>
      </c>
      <c r="AN29" s="18">
        <f t="shared" si="3"/>
        <v>0.20816088373311972</v>
      </c>
      <c r="AP29" s="18">
        <f t="shared" si="3"/>
        <v>0.27735009635604529</v>
      </c>
      <c r="AR29" s="18">
        <f t="shared" si="3"/>
        <v>0.20299642785536293</v>
      </c>
      <c r="AT29" s="18">
        <f t="shared" si="3"/>
        <v>0.25571525947238277</v>
      </c>
      <c r="AV29" s="18">
        <f t="shared" si="3"/>
        <v>0.27704616594022091</v>
      </c>
      <c r="AX29" s="18">
        <f t="shared" si="3"/>
        <v>0.28420572747961476</v>
      </c>
      <c r="AZ29" s="18">
        <f t="shared" si="3"/>
        <v>0.27757346694039042</v>
      </c>
      <c r="BB29" s="18">
        <f t="shared" si="3"/>
        <v>5.4453359225891534E-2</v>
      </c>
      <c r="BD29" s="18">
        <f t="shared" si="3"/>
        <v>0.26447517982723595</v>
      </c>
      <c r="BF29" s="18">
        <f t="shared" si="3"/>
        <v>0.23492978012654137</v>
      </c>
      <c r="BH29" s="18">
        <f t="shared" si="3"/>
        <v>0.22823759759403639</v>
      </c>
      <c r="BJ29" s="18">
        <f t="shared" si="3"/>
        <v>0.22225711149149677</v>
      </c>
    </row>
    <row r="30" spans="2:62" ht="15" thickBot="1" x14ac:dyDescent="0.35">
      <c r="B30" s="19" t="s">
        <v>26</v>
      </c>
      <c r="C30" s="5"/>
      <c r="D30" s="5">
        <v>9834</v>
      </c>
      <c r="E30" s="5"/>
      <c r="F30" s="5">
        <v>12270</v>
      </c>
      <c r="G30" s="5"/>
      <c r="H30" s="5">
        <v>29928</v>
      </c>
      <c r="I30" s="5"/>
      <c r="J30" s="5">
        <v>44300</v>
      </c>
      <c r="K30" s="5"/>
      <c r="L30" s="5">
        <v>36697</v>
      </c>
      <c r="M30" s="5"/>
      <c r="N30" s="20">
        <f>N29*'IS Modelling'!N133</f>
        <v>50087.371081610043</v>
      </c>
      <c r="O30" s="20"/>
      <c r="P30" s="20">
        <f>P29*'IS Modelling'!P133</f>
        <v>73883.023797138099</v>
      </c>
      <c r="Q30" s="20"/>
      <c r="R30" s="20">
        <f>R29*'IS Modelling'!R133</f>
        <v>95626.052453913566</v>
      </c>
      <c r="S30" s="20"/>
      <c r="T30" s="20">
        <f>T29*'IS Modelling'!T133</f>
        <v>100692.0748038186</v>
      </c>
      <c r="U30" s="20"/>
      <c r="V30" s="20">
        <f>V29*'IS Modelling'!V133</f>
        <v>21542.732051822441</v>
      </c>
      <c r="W30" s="20"/>
      <c r="X30" s="20">
        <f>X29*'IS Modelling'!X133</f>
        <v>113845.44274729195</v>
      </c>
      <c r="Y30" s="20"/>
      <c r="Z30" s="20">
        <f>Z29*'IS Modelling'!Z133</f>
        <v>95643.180478052105</v>
      </c>
      <c r="AA30" s="20"/>
      <c r="AB30" s="20">
        <f>AB29*'IS Modelling'!AB133</f>
        <v>94388.240843716412</v>
      </c>
      <c r="AC30" s="20"/>
      <c r="AD30" s="20">
        <f>AD29*'IS Modelling'!AD133</f>
        <v>93783.443877238431</v>
      </c>
      <c r="AH30" s="16" t="s">
        <v>26</v>
      </c>
      <c r="AJ30" s="18">
        <f t="shared" si="3"/>
        <v>3.5378936689187727E-2</v>
      </c>
      <c r="AL30" s="18">
        <f t="shared" si="3"/>
        <v>3.9233241138947064E-2</v>
      </c>
      <c r="AN30" s="18">
        <f t="shared" si="3"/>
        <v>7.3993858569076268E-2</v>
      </c>
      <c r="AP30" s="18">
        <f t="shared" si="3"/>
        <v>9.0531766840850056E-2</v>
      </c>
      <c r="AR30" s="18">
        <f t="shared" si="3"/>
        <v>7.5078460336100758E-2</v>
      </c>
      <c r="AT30" s="18">
        <f t="shared" si="3"/>
        <v>8.9500340815333965E-2</v>
      </c>
      <c r="AV30" s="18">
        <f t="shared" si="3"/>
        <v>9.6966158079077311E-2</v>
      </c>
      <c r="AX30" s="18">
        <f t="shared" si="3"/>
        <v>9.9472004617865165E-2</v>
      </c>
      <c r="AZ30" s="18">
        <f t="shared" si="3"/>
        <v>9.7150713429136629E-2</v>
      </c>
      <c r="BB30" s="18">
        <f t="shared" si="3"/>
        <v>1.9058675729062034E-2</v>
      </c>
      <c r="BD30" s="18">
        <f t="shared" si="3"/>
        <v>9.2566312939532575E-2</v>
      </c>
      <c r="BF30" s="18">
        <f t="shared" si="3"/>
        <v>8.2225423044289467E-2</v>
      </c>
      <c r="BH30" s="18">
        <f t="shared" si="3"/>
        <v>7.9883159157912734E-2</v>
      </c>
      <c r="BJ30" s="18">
        <f t="shared" si="3"/>
        <v>7.7789989022023859E-2</v>
      </c>
    </row>
    <row r="31" spans="2:62" s="6" customFormat="1" ht="28.8" x14ac:dyDescent="0.3">
      <c r="B31" s="15" t="s">
        <v>27</v>
      </c>
      <c r="D31" s="6">
        <f>D29-D30</f>
        <v>52796</v>
      </c>
      <c r="F31" s="6">
        <f>F29-F30</f>
        <v>70293</v>
      </c>
      <c r="H31" s="6">
        <f>H29-H30</f>
        <v>54266</v>
      </c>
      <c r="J31" s="6">
        <f>J29-J30</f>
        <v>91416</v>
      </c>
      <c r="L31" s="6">
        <f>L29-L30</f>
        <v>62524</v>
      </c>
      <c r="N31" s="21">
        <f>N29-N30</f>
        <v>93019.403437275818</v>
      </c>
      <c r="O31" s="21"/>
      <c r="P31" s="21">
        <f>P29-P30</f>
        <v>137211.32990897077</v>
      </c>
      <c r="Q31" s="21"/>
      <c r="R31" s="21">
        <f>R29-R30</f>
        <v>177591.2402715538</v>
      </c>
      <c r="S31" s="21"/>
      <c r="T31" s="21">
        <f>T29-T30</f>
        <v>186999.567492806</v>
      </c>
      <c r="U31" s="21"/>
      <c r="V31" s="21">
        <f>V29-V30</f>
        <v>40007.930953384537</v>
      </c>
      <c r="W31" s="21"/>
      <c r="X31" s="21">
        <f>X29-X30</f>
        <v>211427.25081639935</v>
      </c>
      <c r="Y31" s="21"/>
      <c r="Z31" s="21">
        <f>Z29-Z30</f>
        <v>177623.04945923964</v>
      </c>
      <c r="AA31" s="21"/>
      <c r="AB31" s="21">
        <f>AB29-AB30</f>
        <v>175292.44728118763</v>
      </c>
      <c r="AC31" s="21"/>
      <c r="AD31" s="21">
        <f>AD29-AD30</f>
        <v>174169.25291487138</v>
      </c>
      <c r="AH31" s="15" t="s">
        <v>27</v>
      </c>
      <c r="AJ31" s="18">
        <f t="shared" si="3"/>
        <v>0.1899396320360337</v>
      </c>
      <c r="AL31" s="18">
        <f t="shared" si="3"/>
        <v>0.22476138707253512</v>
      </c>
      <c r="AN31" s="18">
        <f t="shared" si="3"/>
        <v>0.13416702516404347</v>
      </c>
      <c r="AP31" s="18">
        <f t="shared" si="3"/>
        <v>0.18681832951519523</v>
      </c>
      <c r="AR31" s="18">
        <f t="shared" si="3"/>
        <v>0.12791796751926215</v>
      </c>
      <c r="AT31" s="18">
        <f t="shared" si="3"/>
        <v>0.16621491865704885</v>
      </c>
      <c r="AV31" s="18">
        <f t="shared" si="3"/>
        <v>0.18008000786114359</v>
      </c>
      <c r="AX31" s="18">
        <f t="shared" si="3"/>
        <v>0.18473372286174963</v>
      </c>
      <c r="AZ31" s="18">
        <f t="shared" si="3"/>
        <v>0.18042275351125378</v>
      </c>
      <c r="BB31" s="18">
        <f t="shared" si="3"/>
        <v>3.5394683496829497E-2</v>
      </c>
      <c r="BD31" s="18">
        <f t="shared" si="3"/>
        <v>0.17190886688770338</v>
      </c>
      <c r="BF31" s="18">
        <f t="shared" si="3"/>
        <v>0.15270435708225188</v>
      </c>
      <c r="BH31" s="18">
        <f t="shared" si="3"/>
        <v>0.14835443843612364</v>
      </c>
      <c r="BJ31" s="18">
        <f t="shared" si="3"/>
        <v>0.14446712246947291</v>
      </c>
    </row>
    <row r="32" spans="2:62" ht="28.8" x14ac:dyDescent="0.3">
      <c r="B32" s="16" t="s">
        <v>28</v>
      </c>
      <c r="D32" s="4">
        <v>-5381</v>
      </c>
      <c r="F32" s="4">
        <v>-876</v>
      </c>
      <c r="H32" s="4">
        <v>0</v>
      </c>
      <c r="J32" s="4">
        <v>0</v>
      </c>
      <c r="L32" s="4">
        <v>0</v>
      </c>
      <c r="N32" s="17">
        <f>L32</f>
        <v>0</v>
      </c>
      <c r="O32" s="17"/>
      <c r="P32" s="17">
        <f>N32</f>
        <v>0</v>
      </c>
      <c r="Q32" s="17"/>
      <c r="R32" s="17">
        <f>P32</f>
        <v>0</v>
      </c>
      <c r="S32" s="17"/>
      <c r="T32" s="17">
        <f>R32</f>
        <v>0</v>
      </c>
      <c r="U32" s="17"/>
      <c r="V32" s="17">
        <f>T32</f>
        <v>0</v>
      </c>
      <c r="W32" s="17"/>
      <c r="X32" s="17">
        <f>V32</f>
        <v>0</v>
      </c>
      <c r="Y32" s="17"/>
      <c r="Z32" s="17">
        <f>X32</f>
        <v>0</v>
      </c>
      <c r="AA32" s="17"/>
      <c r="AB32" s="17">
        <f>Z32</f>
        <v>0</v>
      </c>
      <c r="AC32" s="17"/>
      <c r="AD32" s="17">
        <f>AB32</f>
        <v>0</v>
      </c>
      <c r="AH32" s="16" t="s">
        <v>28</v>
      </c>
      <c r="AJ32" s="18">
        <f t="shared" si="3"/>
        <v>-1.9358761269526049E-2</v>
      </c>
      <c r="AL32" s="18">
        <f t="shared" si="3"/>
        <v>-2.8010040128539225E-3</v>
      </c>
      <c r="AN32" s="18">
        <f t="shared" si="3"/>
        <v>0</v>
      </c>
      <c r="AP32" s="18">
        <f t="shared" si="3"/>
        <v>0</v>
      </c>
      <c r="AR32" s="18">
        <f t="shared" si="3"/>
        <v>0</v>
      </c>
      <c r="AT32" s="18">
        <f t="shared" si="3"/>
        <v>0</v>
      </c>
      <c r="AV32" s="18">
        <f t="shared" si="3"/>
        <v>0</v>
      </c>
      <c r="AX32" s="18">
        <f t="shared" si="3"/>
        <v>0</v>
      </c>
      <c r="AZ32" s="18">
        <f t="shared" si="3"/>
        <v>0</v>
      </c>
      <c r="BB32" s="18">
        <f t="shared" si="3"/>
        <v>0</v>
      </c>
      <c r="BD32" s="18">
        <f t="shared" si="3"/>
        <v>0</v>
      </c>
      <c r="BF32" s="18">
        <f t="shared" si="3"/>
        <v>0</v>
      </c>
      <c r="BH32" s="18">
        <f t="shared" si="3"/>
        <v>0</v>
      </c>
      <c r="BJ32" s="18">
        <f t="shared" si="3"/>
        <v>0</v>
      </c>
    </row>
    <row r="33" spans="2:62" s="6" customFormat="1" ht="28.8" x14ac:dyDescent="0.3">
      <c r="B33" s="15" t="s">
        <v>29</v>
      </c>
      <c r="D33" s="6">
        <f>D31-D32</f>
        <v>58177</v>
      </c>
      <c r="F33" s="6">
        <f>F31-F32</f>
        <v>71169</v>
      </c>
      <c r="H33" s="6">
        <f>H31-H32</f>
        <v>54266</v>
      </c>
      <c r="J33" s="6">
        <f>J31-J32</f>
        <v>91416</v>
      </c>
      <c r="L33" s="6">
        <f>L31-L32</f>
        <v>62524</v>
      </c>
      <c r="N33" s="21">
        <f>N31-N32</f>
        <v>93019.403437275818</v>
      </c>
      <c r="O33" s="21"/>
      <c r="P33" s="21">
        <f>P31-P32</f>
        <v>137211.32990897077</v>
      </c>
      <c r="Q33" s="21"/>
      <c r="R33" s="21">
        <f>R31-R32</f>
        <v>177591.2402715538</v>
      </c>
      <c r="S33" s="21"/>
      <c r="T33" s="21">
        <f>T31-T32</f>
        <v>186999.567492806</v>
      </c>
      <c r="U33" s="21"/>
      <c r="V33" s="21">
        <f>V31-V32</f>
        <v>40007.930953384537</v>
      </c>
      <c r="W33" s="21"/>
      <c r="X33" s="21">
        <f>X31-X32</f>
        <v>211427.25081639935</v>
      </c>
      <c r="Y33" s="21"/>
      <c r="Z33" s="21">
        <f>Z31-Z32</f>
        <v>177623.04945923964</v>
      </c>
      <c r="AA33" s="21"/>
      <c r="AB33" s="21">
        <f>AB31-AB32</f>
        <v>175292.44728118763</v>
      </c>
      <c r="AC33" s="21"/>
      <c r="AD33" s="21">
        <f>AD31-AD32</f>
        <v>174169.25291487138</v>
      </c>
      <c r="AH33" s="15" t="s">
        <v>29</v>
      </c>
      <c r="AJ33" s="18">
        <f t="shared" si="3"/>
        <v>0.20929839330555974</v>
      </c>
      <c r="AL33" s="18">
        <f t="shared" si="3"/>
        <v>0.22756239108538906</v>
      </c>
      <c r="AN33" s="18">
        <f t="shared" si="3"/>
        <v>0.13416702516404347</v>
      </c>
      <c r="AP33" s="18">
        <f t="shared" si="3"/>
        <v>0.18681832951519523</v>
      </c>
      <c r="AR33" s="18">
        <f t="shared" si="3"/>
        <v>0.12791796751926215</v>
      </c>
      <c r="AT33" s="18">
        <f t="shared" si="3"/>
        <v>0.16621491865704885</v>
      </c>
      <c r="AV33" s="18">
        <f t="shared" si="3"/>
        <v>0.18008000786114359</v>
      </c>
      <c r="AX33" s="18">
        <f t="shared" si="3"/>
        <v>0.18473372286174963</v>
      </c>
      <c r="AZ33" s="18">
        <f t="shared" si="3"/>
        <v>0.18042275351125378</v>
      </c>
      <c r="BB33" s="18">
        <f t="shared" si="3"/>
        <v>3.5394683496829497E-2</v>
      </c>
      <c r="BD33" s="18">
        <f t="shared" si="3"/>
        <v>0.17190886688770338</v>
      </c>
      <c r="BF33" s="18">
        <f t="shared" si="3"/>
        <v>0.15270435708225188</v>
      </c>
      <c r="BH33" s="18">
        <f t="shared" si="3"/>
        <v>0.14835443843612364</v>
      </c>
      <c r="BJ33" s="18">
        <f t="shared" si="3"/>
        <v>0.14446712246947291</v>
      </c>
    </row>
    <row r="34" spans="2:62" ht="29.4" thickBot="1" x14ac:dyDescent="0.35">
      <c r="B34" s="19" t="s">
        <v>30</v>
      </c>
      <c r="C34" s="5"/>
      <c r="D34" s="5">
        <v>-34653</v>
      </c>
      <c r="E34" s="5"/>
      <c r="F34" s="5">
        <v>-40034</v>
      </c>
      <c r="G34" s="5"/>
      <c r="H34" s="5">
        <v>-17525</v>
      </c>
      <c r="I34" s="5"/>
      <c r="J34" s="5">
        <v>-28546</v>
      </c>
      <c r="K34" s="5"/>
      <c r="L34" s="5">
        <v>-10748</v>
      </c>
      <c r="M34" s="5"/>
      <c r="N34" s="20">
        <v>0</v>
      </c>
      <c r="O34" s="20"/>
      <c r="P34" s="20">
        <v>0</v>
      </c>
      <c r="Q34" s="20"/>
      <c r="R34" s="20">
        <v>0</v>
      </c>
      <c r="S34" s="20"/>
      <c r="T34" s="20">
        <v>0</v>
      </c>
      <c r="U34" s="20"/>
      <c r="V34" s="20">
        <v>0</v>
      </c>
      <c r="W34" s="20"/>
      <c r="X34" s="20">
        <v>0</v>
      </c>
      <c r="Y34" s="20"/>
      <c r="Z34" s="20">
        <v>0</v>
      </c>
      <c r="AA34" s="20"/>
      <c r="AB34" s="20">
        <v>0</v>
      </c>
      <c r="AC34" s="20"/>
      <c r="AD34" s="20">
        <v>0</v>
      </c>
      <c r="AH34" s="16" t="s">
        <v>30</v>
      </c>
      <c r="AJ34" s="18">
        <f t="shared" si="3"/>
        <v>-0.12466812010274786</v>
      </c>
      <c r="AL34" s="18">
        <f t="shared" si="3"/>
        <v>-0.12800844138195655</v>
      </c>
      <c r="AN34" s="18">
        <f t="shared" si="3"/>
        <v>-4.3328734677327639E-2</v>
      </c>
      <c r="AP34" s="18">
        <f t="shared" si="3"/>
        <v>-5.8336790434286814E-2</v>
      </c>
      <c r="AR34" s="18">
        <f t="shared" si="3"/>
        <v>-2.1989353126751803E-2</v>
      </c>
      <c r="AT34" s="18">
        <f t="shared" si="3"/>
        <v>0</v>
      </c>
      <c r="AV34" s="18">
        <f t="shared" si="3"/>
        <v>0</v>
      </c>
      <c r="AX34" s="18">
        <f t="shared" si="3"/>
        <v>0</v>
      </c>
      <c r="AZ34" s="18">
        <f t="shared" si="3"/>
        <v>0</v>
      </c>
      <c r="BB34" s="18">
        <f t="shared" si="3"/>
        <v>0</v>
      </c>
      <c r="BD34" s="18">
        <f t="shared" si="3"/>
        <v>0</v>
      </c>
      <c r="BF34" s="18">
        <f t="shared" si="3"/>
        <v>0</v>
      </c>
      <c r="BH34" s="18">
        <f t="shared" si="3"/>
        <v>0</v>
      </c>
      <c r="BJ34" s="18">
        <f t="shared" si="3"/>
        <v>0</v>
      </c>
    </row>
    <row r="35" spans="2:62" s="6" customFormat="1" x14ac:dyDescent="0.3">
      <c r="B35" s="15" t="s">
        <v>31</v>
      </c>
      <c r="D35" s="6">
        <f>D33+D34</f>
        <v>23524</v>
      </c>
      <c r="F35" s="6">
        <f>F33+F34</f>
        <v>31135</v>
      </c>
      <c r="H35" s="6">
        <f>H33+H34</f>
        <v>36741</v>
      </c>
      <c r="J35" s="6">
        <f>J33+J34</f>
        <v>62870</v>
      </c>
      <c r="L35" s="6">
        <f>L33+L34</f>
        <v>51776</v>
      </c>
      <c r="N35" s="21">
        <f>N33+N34</f>
        <v>93019.403437275818</v>
      </c>
      <c r="O35" s="21"/>
      <c r="P35" s="21">
        <f>P33+P34</f>
        <v>137211.32990897077</v>
      </c>
      <c r="Q35" s="21"/>
      <c r="R35" s="21">
        <f>R33+R34</f>
        <v>177591.2402715538</v>
      </c>
      <c r="S35" s="21"/>
      <c r="T35" s="21">
        <f>T33+T34</f>
        <v>186999.567492806</v>
      </c>
      <c r="U35" s="21"/>
      <c r="V35" s="21">
        <f>V33+V34</f>
        <v>40007.930953384537</v>
      </c>
      <c r="W35" s="21"/>
      <c r="X35" s="21">
        <f>X33+X34</f>
        <v>211427.25081639935</v>
      </c>
      <c r="Y35" s="21"/>
      <c r="Z35" s="21">
        <f>Z33+Z34</f>
        <v>177623.04945923964</v>
      </c>
      <c r="AA35" s="21"/>
      <c r="AB35" s="21">
        <f>AB33+AB34</f>
        <v>175292.44728118763</v>
      </c>
      <c r="AC35" s="21"/>
      <c r="AD35" s="21">
        <f>AD33+AD34</f>
        <v>174169.25291487138</v>
      </c>
      <c r="AH35" s="15" t="s">
        <v>31</v>
      </c>
      <c r="AJ35" s="18">
        <f t="shared" si="3"/>
        <v>8.4630273202811898E-2</v>
      </c>
      <c r="AL35" s="18">
        <f t="shared" si="3"/>
        <v>9.9553949703432509E-2</v>
      </c>
      <c r="AN35" s="18">
        <f t="shared" si="3"/>
        <v>9.0838290486715823E-2</v>
      </c>
      <c r="AP35" s="18">
        <f t="shared" si="3"/>
        <v>0.12848153908090842</v>
      </c>
      <c r="AR35" s="18">
        <f>L35/L$10</f>
        <v>0.10592861439251036</v>
      </c>
      <c r="AT35" s="18">
        <f t="shared" si="3"/>
        <v>0.16621491865704885</v>
      </c>
      <c r="AV35" s="18">
        <f t="shared" si="3"/>
        <v>0.18008000786114359</v>
      </c>
      <c r="AX35" s="18">
        <f t="shared" si="3"/>
        <v>0.18473372286174963</v>
      </c>
      <c r="AZ35" s="18">
        <f t="shared" si="3"/>
        <v>0.18042275351125378</v>
      </c>
      <c r="BB35" s="18">
        <f t="shared" si="3"/>
        <v>3.5394683496829497E-2</v>
      </c>
      <c r="BD35" s="18">
        <f t="shared" si="3"/>
        <v>0.17190886688770338</v>
      </c>
      <c r="BF35" s="18">
        <f t="shared" si="3"/>
        <v>0.15270435708225188</v>
      </c>
      <c r="BH35" s="18">
        <f t="shared" si="3"/>
        <v>0.14835443843612364</v>
      </c>
      <c r="BJ35" s="18">
        <f t="shared" si="3"/>
        <v>0.14446712246947291</v>
      </c>
    </row>
    <row r="36" spans="2:62" x14ac:dyDescent="0.3">
      <c r="F36" s="64">
        <f>F35/D35-1</f>
        <v>0.3235419146403673</v>
      </c>
      <c r="G36" s="65"/>
      <c r="H36" s="64">
        <f>H35/F35-1</f>
        <v>0.18005460093142767</v>
      </c>
      <c r="I36" s="65"/>
      <c r="J36" s="64">
        <f>J35/H35-1</f>
        <v>0.7111673607141884</v>
      </c>
      <c r="K36" s="65"/>
      <c r="L36" s="64">
        <f>L35/J35-1</f>
        <v>-0.17645936058533485</v>
      </c>
      <c r="M36" s="65"/>
      <c r="N36" s="64">
        <f>N35/L35-1</f>
        <v>0.79657376848879435</v>
      </c>
      <c r="O36" s="66"/>
      <c r="P36" s="64">
        <f>P35/N35-1</f>
        <v>0.47508288420161859</v>
      </c>
      <c r="Q36" s="66"/>
      <c r="R36" s="64">
        <f>R35/P35-1</f>
        <v>0.29428991315346931</v>
      </c>
      <c r="S36" s="66"/>
      <c r="T36" s="64">
        <f>T35/R35-1</f>
        <v>5.297742842983677E-2</v>
      </c>
      <c r="U36" s="66"/>
      <c r="V36" s="64">
        <f>V35/T35-1</f>
        <v>-0.78605335033770241</v>
      </c>
      <c r="W36" s="66"/>
      <c r="X36" s="64">
        <f>X35/V35-1</f>
        <v>4.2846334658681799</v>
      </c>
      <c r="Y36" s="66"/>
      <c r="Z36" s="64">
        <f>Z35/X35-1</f>
        <v>-0.15988573481719648</v>
      </c>
      <c r="AA36" s="66"/>
      <c r="AB36" s="64">
        <f>AB35/Z35-1</f>
        <v>-1.3121057121513013E-2</v>
      </c>
      <c r="AC36" s="66"/>
      <c r="AD36" s="64">
        <f>AD35/AB35-1</f>
        <v>-6.4075456971316447E-3</v>
      </c>
    </row>
    <row r="37" spans="2:62" s="6" customFormat="1" ht="28.8" x14ac:dyDescent="0.3">
      <c r="B37" s="15" t="s">
        <v>40</v>
      </c>
      <c r="M37" s="6" t="s">
        <v>312</v>
      </c>
      <c r="N37" s="87">
        <f>48.7/30.2*L35</f>
        <v>83493.086092715239</v>
      </c>
      <c r="AH37" s="15"/>
    </row>
    <row r="38" spans="2:62" ht="29.4" thickBot="1" x14ac:dyDescent="0.35">
      <c r="B38" s="19" t="s">
        <v>41</v>
      </c>
      <c r="C38" s="5"/>
      <c r="D38" s="5">
        <v>-816</v>
      </c>
      <c r="E38" s="5"/>
      <c r="F38" s="5">
        <v>664</v>
      </c>
      <c r="G38" s="5"/>
      <c r="H38" s="5">
        <v>457</v>
      </c>
      <c r="I38" s="5"/>
      <c r="J38" s="5">
        <v>295</v>
      </c>
      <c r="K38" s="5"/>
      <c r="L38" s="5">
        <v>-1618</v>
      </c>
      <c r="M38" s="5"/>
      <c r="N38" s="5">
        <v>0</v>
      </c>
      <c r="O38" s="5"/>
      <c r="P38" s="5">
        <v>0</v>
      </c>
      <c r="Q38" s="5"/>
      <c r="R38" s="5">
        <v>0</v>
      </c>
      <c r="S38" s="5"/>
      <c r="T38" s="5">
        <v>0</v>
      </c>
      <c r="U38" s="5"/>
      <c r="V38" s="5">
        <v>0</v>
      </c>
      <c r="W38" s="5"/>
      <c r="X38" s="5">
        <v>0</v>
      </c>
      <c r="Y38" s="5"/>
      <c r="Z38" s="5">
        <v>0</v>
      </c>
      <c r="AA38" s="5"/>
      <c r="AB38" s="5">
        <v>0</v>
      </c>
      <c r="AC38" s="5"/>
      <c r="AD38" s="5">
        <v>0</v>
      </c>
    </row>
    <row r="39" spans="2:62" s="6" customFormat="1" x14ac:dyDescent="0.3">
      <c r="B39" s="15" t="s">
        <v>42</v>
      </c>
      <c r="D39" s="6">
        <f>D35+D38</f>
        <v>22708</v>
      </c>
      <c r="F39" s="6">
        <f>F35+F38</f>
        <v>31799</v>
      </c>
      <c r="H39" s="6">
        <f>H35+H38</f>
        <v>37198</v>
      </c>
      <c r="J39" s="6">
        <f>J35+J38</f>
        <v>63165</v>
      </c>
      <c r="L39" s="6">
        <f>L35+L38</f>
        <v>50158</v>
      </c>
      <c r="N39" s="21">
        <f>N35+N38</f>
        <v>93019.403437275818</v>
      </c>
      <c r="O39" s="21"/>
      <c r="P39" s="21">
        <f>P35+P38</f>
        <v>137211.32990897077</v>
      </c>
      <c r="Q39" s="21"/>
      <c r="R39" s="21">
        <f>R35+R38</f>
        <v>177591.2402715538</v>
      </c>
      <c r="S39" s="21"/>
      <c r="T39" s="21">
        <f>T35+T38</f>
        <v>186999.567492806</v>
      </c>
      <c r="U39" s="21"/>
      <c r="V39" s="21">
        <f>V35+V38</f>
        <v>40007.930953384537</v>
      </c>
      <c r="W39" s="21"/>
      <c r="X39" s="21">
        <f>X35+X38</f>
        <v>211427.25081639935</v>
      </c>
      <c r="Y39" s="21"/>
      <c r="Z39" s="21">
        <f>Z35+Z38</f>
        <v>177623.04945923964</v>
      </c>
      <c r="AA39" s="21"/>
      <c r="AB39" s="21">
        <f>AB35+AB38</f>
        <v>175292.44728118763</v>
      </c>
      <c r="AC39" s="21"/>
      <c r="AD39" s="21">
        <f>AD35+AD38</f>
        <v>174169.25291487138</v>
      </c>
      <c r="AH39" s="15"/>
    </row>
    <row r="41" spans="2:62" ht="28.8" x14ac:dyDescent="0.3">
      <c r="B41" s="16" t="s">
        <v>33</v>
      </c>
      <c r="D41" s="34">
        <f>D33/D$49*1000</f>
        <v>1.6124224459780832</v>
      </c>
      <c r="F41" s="34">
        <f>F33/F$49*1000</f>
        <v>1.9659247988531234</v>
      </c>
      <c r="H41" s="34">
        <f>H33/H$49*1000</f>
        <v>1.4531037190602591</v>
      </c>
      <c r="J41" s="34">
        <f>J33/J$49*1000</f>
        <v>2.3685702726242104</v>
      </c>
      <c r="L41" s="34">
        <f>L33/L$49*1000</f>
        <v>1.5559365072191758</v>
      </c>
      <c r="N41" s="34">
        <f>N33/N$49*1000</f>
        <v>2.2977598322444996</v>
      </c>
      <c r="P41" s="34">
        <f>P33/P$49*1000</f>
        <v>3.364578263170833</v>
      </c>
      <c r="R41" s="34">
        <f>R33/R$49*1000</f>
        <v>4.3230976555897529</v>
      </c>
      <c r="T41" s="34">
        <f>T33/T$49*1000</f>
        <v>4.5192865827827688</v>
      </c>
      <c r="V41" s="34">
        <f>V33/V$49*1000</f>
        <v>0.81484802006004342</v>
      </c>
      <c r="X41" s="34">
        <f>X33/X$49*1000</f>
        <v>4.3061731164057315</v>
      </c>
      <c r="Z41" s="34">
        <f>Z33/Z$49*1000</f>
        <v>3.617677463439144</v>
      </c>
      <c r="AB41" s="34">
        <f>AB33/AB$49*1000</f>
        <v>3.5702097107941486</v>
      </c>
      <c r="AD41" s="34">
        <f>AD33/AD$49*1000</f>
        <v>3.547333428923892</v>
      </c>
    </row>
    <row r="42" spans="2:62" ht="28.8" x14ac:dyDescent="0.3">
      <c r="B42" s="16" t="s">
        <v>34</v>
      </c>
      <c r="D42" s="34">
        <f>D34/D$49*1000</f>
        <v>-0.96043582550627427</v>
      </c>
      <c r="F42" s="34">
        <f>F34/F$49*1000</f>
        <v>-1.1058724078922839</v>
      </c>
      <c r="H42" s="34">
        <f>H34/H$49*1000</f>
        <v>-0.46927436473171125</v>
      </c>
      <c r="J42" s="34">
        <f>J34/J$49*1000</f>
        <v>-0.73962114949604796</v>
      </c>
      <c r="L42" s="34">
        <f>L34/L$49*1000</f>
        <v>-0.26746858133823326</v>
      </c>
      <c r="N42" s="34">
        <f>N34/N$49*1000</f>
        <v>0</v>
      </c>
      <c r="P42" s="34">
        <f>P34/P$49*1000</f>
        <v>0</v>
      </c>
      <c r="R42" s="34">
        <f>R34/R$49*1000</f>
        <v>0</v>
      </c>
      <c r="T42" s="34">
        <f>T34/T$49*1000</f>
        <v>0</v>
      </c>
      <c r="V42" s="34">
        <f>V34/V$49*1000</f>
        <v>0</v>
      </c>
      <c r="X42" s="34">
        <f>X34/X$49*1000</f>
        <v>0</v>
      </c>
      <c r="Z42" s="34">
        <f>Z34/Z$49*1000</f>
        <v>0</v>
      </c>
      <c r="AB42" s="34">
        <f>AB34/AB$49*1000</f>
        <v>0</v>
      </c>
      <c r="AD42" s="34">
        <f>AD34/AD$49*1000</f>
        <v>0</v>
      </c>
    </row>
    <row r="43" spans="2:62" x14ac:dyDescent="0.3">
      <c r="B43" s="16" t="s">
        <v>32</v>
      </c>
      <c r="D43" s="34">
        <f>D41+D42</f>
        <v>0.65198662047180889</v>
      </c>
      <c r="F43" s="34">
        <f>F41+F42</f>
        <v>0.86005239096083952</v>
      </c>
      <c r="H43" s="34">
        <f>H41+H42</f>
        <v>0.9838293543285479</v>
      </c>
      <c r="J43" s="34">
        <f>J41+J42</f>
        <v>1.6289491231281623</v>
      </c>
      <c r="L43" s="34">
        <f>L41+L42</f>
        <v>1.2884679258809424</v>
      </c>
      <c r="N43" s="34">
        <f>N41+N42</f>
        <v>2.2977598322444996</v>
      </c>
      <c r="P43" s="34">
        <f>P41+P42</f>
        <v>3.364578263170833</v>
      </c>
      <c r="R43" s="34">
        <f>R41+R42</f>
        <v>4.3230976555897529</v>
      </c>
      <c r="T43" s="34">
        <f>T41+T42</f>
        <v>4.5192865827827688</v>
      </c>
      <c r="V43" s="34">
        <f>V41+V42</f>
        <v>0.81484802006004342</v>
      </c>
      <c r="X43" s="34">
        <f>X41+X42</f>
        <v>4.3061731164057315</v>
      </c>
      <c r="Z43" s="34">
        <f>Z41+Z42</f>
        <v>3.617677463439144</v>
      </c>
      <c r="AB43" s="34">
        <f>AB41+AB42</f>
        <v>3.5702097107941486</v>
      </c>
      <c r="AD43" s="34">
        <f>AD41+AD42</f>
        <v>3.547333428923892</v>
      </c>
    </row>
    <row r="45" spans="2:62" s="6" customFormat="1" ht="28.8" x14ac:dyDescent="0.3">
      <c r="B45" s="35" t="s">
        <v>35</v>
      </c>
      <c r="D45" s="36">
        <f>D33/D$50*1000</f>
        <v>1.5973625081279412</v>
      </c>
      <c r="E45" s="36"/>
      <c r="F45" s="36">
        <f>F33/F$50*1000</f>
        <v>1.936700225723855</v>
      </c>
      <c r="G45" s="36"/>
      <c r="H45" s="36">
        <f>H33/H$50*1000</f>
        <v>1.1847745488611647</v>
      </c>
      <c r="I45" s="36"/>
      <c r="J45" s="36">
        <f>J33/J$50*1000</f>
        <v>1.9344909778562405</v>
      </c>
      <c r="K45" s="36"/>
      <c r="L45" s="36">
        <f>L33/L$50*1000</f>
        <v>1.2673326858972165</v>
      </c>
      <c r="N45" s="36">
        <f>N33/N$50*1000</f>
        <v>1.8558349014953042</v>
      </c>
      <c r="P45" s="36">
        <f>P33/P$50*1000</f>
        <v>2.7562810092975853</v>
      </c>
      <c r="R45" s="36">
        <f>R33/R$50*1000</f>
        <v>3.5920569203134076</v>
      </c>
      <c r="T45" s="36">
        <f>T33/T$50*1000</f>
        <v>3.808650527345177</v>
      </c>
      <c r="V45" s="36">
        <f>V33/V$50*1000</f>
        <v>0.81484802006004342</v>
      </c>
      <c r="X45" s="36">
        <f>X33/X$50*1000</f>
        <v>4.3061731164057315</v>
      </c>
      <c r="Z45" s="36">
        <f>Z33/Z$50*1000</f>
        <v>3.617677463439144</v>
      </c>
      <c r="AB45" s="36">
        <f>AB33/AB$50*1000</f>
        <v>3.5702097107941486</v>
      </c>
      <c r="AD45" s="36">
        <f>AD33/AD$50*1000</f>
        <v>3.547333428923892</v>
      </c>
      <c r="AH45" s="15"/>
    </row>
    <row r="46" spans="2:62" s="6" customFormat="1" ht="28.8" x14ac:dyDescent="0.3">
      <c r="B46" s="15" t="s">
        <v>36</v>
      </c>
      <c r="D46" s="36">
        <f>D34/D$50*1000</f>
        <v>-0.95146540719111583</v>
      </c>
      <c r="E46" s="36"/>
      <c r="F46" s="36">
        <f>F34/F$50*1000</f>
        <v>-1.0894329952174235</v>
      </c>
      <c r="G46" s="36"/>
      <c r="H46" s="36">
        <f>H34/H$50*1000</f>
        <v>-0.3826184713963055</v>
      </c>
      <c r="I46" s="36"/>
      <c r="J46" s="36">
        <f>J34/J$50*1000</f>
        <v>-0.60407346037766085</v>
      </c>
      <c r="K46" s="36"/>
      <c r="L46" s="36">
        <f>L34/L$50*1000</f>
        <v>-0.21785701023644174</v>
      </c>
      <c r="N46" s="36">
        <f>N34/N$50*1000</f>
        <v>0</v>
      </c>
      <c r="P46" s="36">
        <f>P34/P$50*1000</f>
        <v>0</v>
      </c>
      <c r="R46" s="36">
        <f>R34/R$50*1000</f>
        <v>0</v>
      </c>
      <c r="T46" s="36">
        <f>T34/T$50*1000</f>
        <v>0</v>
      </c>
      <c r="V46" s="36">
        <f>V34/V$50*1000</f>
        <v>0</v>
      </c>
      <c r="X46" s="36">
        <f>X34/X$50*1000</f>
        <v>0</v>
      </c>
      <c r="Z46" s="36">
        <f>Z34/Z$50*1000</f>
        <v>0</v>
      </c>
      <c r="AB46" s="36">
        <f>AB34/AB$50*1000</f>
        <v>0</v>
      </c>
      <c r="AD46" s="36">
        <f>AD34/AD$50*1000</f>
        <v>0</v>
      </c>
      <c r="AH46" s="15"/>
    </row>
    <row r="47" spans="2:62" s="6" customFormat="1" x14ac:dyDescent="0.3">
      <c r="B47" s="35" t="s">
        <v>37</v>
      </c>
      <c r="D47" s="36">
        <f>SUM(D45:D46)</f>
        <v>0.6458971009368254</v>
      </c>
      <c r="E47" s="36"/>
      <c r="F47" s="36">
        <f>SUM(F45:F46)</f>
        <v>0.84726723050643149</v>
      </c>
      <c r="G47" s="36"/>
      <c r="H47" s="36">
        <f>SUM(H45:H46)</f>
        <v>0.80215607746485929</v>
      </c>
      <c r="I47" s="36"/>
      <c r="J47" s="36">
        <f>SUM(J45:J46)</f>
        <v>1.3304175174785797</v>
      </c>
      <c r="K47" s="36"/>
      <c r="L47" s="36">
        <f>SUM(L45:L46)</f>
        <v>1.0494756756607748</v>
      </c>
      <c r="N47" s="36">
        <f>SUM(N45:N46)</f>
        <v>1.8558349014953042</v>
      </c>
      <c r="P47" s="36">
        <f>SUM(P45:P46)</f>
        <v>2.7562810092975853</v>
      </c>
      <c r="R47" s="36">
        <f>SUM(R45:R46)</f>
        <v>3.5920569203134076</v>
      </c>
      <c r="T47" s="36">
        <f>SUM(T45:T46)</f>
        <v>3.808650527345177</v>
      </c>
      <c r="V47" s="36">
        <f>SUM(V45:V46)</f>
        <v>0.81484802006004342</v>
      </c>
      <c r="X47" s="36">
        <f>SUM(X45:X46)</f>
        <v>4.3061731164057315</v>
      </c>
      <c r="Z47" s="36">
        <f>SUM(Z45:Z46)</f>
        <v>3.617677463439144</v>
      </c>
      <c r="AB47" s="36">
        <f>SUM(AB45:AB46)</f>
        <v>3.5702097107941486</v>
      </c>
      <c r="AD47" s="36">
        <f>SUM(AD45:AD46)</f>
        <v>3.547333428923892</v>
      </c>
      <c r="AH47" s="15"/>
    </row>
    <row r="49" spans="2:34" ht="28.8" x14ac:dyDescent="0.3">
      <c r="B49" s="16" t="s">
        <v>38</v>
      </c>
      <c r="D49" s="4">
        <v>36080495</v>
      </c>
      <c r="F49" s="4">
        <v>36201283</v>
      </c>
      <c r="H49" s="4">
        <v>37344891</v>
      </c>
      <c r="J49" s="4">
        <v>38595435</v>
      </c>
      <c r="L49" s="4">
        <v>40184159</v>
      </c>
      <c r="N49" s="17">
        <f>'BS Modelling'!N64</f>
        <v>40482648.417790696</v>
      </c>
      <c r="P49" s="17">
        <f>'BS Modelling'!P64</f>
        <v>40781137.835581392</v>
      </c>
      <c r="R49" s="17">
        <f>'BS Modelling'!R64</f>
        <v>41079627.253372088</v>
      </c>
      <c r="T49" s="17">
        <f>'BS Modelling'!T64</f>
        <v>41378116.671162784</v>
      </c>
      <c r="V49" s="17">
        <f>'BS Modelling'!V64</f>
        <v>49098641.671162784</v>
      </c>
      <c r="X49" s="17">
        <f>'BS Modelling'!X64</f>
        <v>49098641.671162784</v>
      </c>
      <c r="Z49" s="17">
        <f>'BS Modelling'!Z64</f>
        <v>49098641.671162784</v>
      </c>
      <c r="AB49" s="17">
        <f>'BS Modelling'!AB64</f>
        <v>49098641.671162784</v>
      </c>
      <c r="AD49" s="17">
        <f>'BS Modelling'!AD64</f>
        <v>49098641.671162784</v>
      </c>
    </row>
    <row r="50" spans="2:34" ht="28.8" x14ac:dyDescent="0.3">
      <c r="B50" s="16" t="s">
        <v>39</v>
      </c>
      <c r="D50" s="4">
        <v>36420662</v>
      </c>
      <c r="F50" s="4">
        <v>36747556</v>
      </c>
      <c r="H50" s="4">
        <v>45802807</v>
      </c>
      <c r="J50" s="4">
        <v>47255842</v>
      </c>
      <c r="L50" s="4">
        <v>49335112</v>
      </c>
      <c r="N50" s="17">
        <f>'BS Modelling'!N65</f>
        <v>50122671.667790696</v>
      </c>
      <c r="P50" s="17">
        <f>'BS Modelling'!P65</f>
        <v>49781328.335581392</v>
      </c>
      <c r="R50" s="17">
        <f>'BS Modelling'!R65</f>
        <v>49439985.003372088</v>
      </c>
      <c r="T50" s="17">
        <f>'BS Modelling'!T65</f>
        <v>49098641.671162784</v>
      </c>
      <c r="V50" s="17">
        <f>'BS Modelling'!V65</f>
        <v>49098641.671162784</v>
      </c>
      <c r="X50" s="17">
        <f>'BS Modelling'!X65</f>
        <v>49098641.671162784</v>
      </c>
      <c r="Z50" s="17">
        <f>'BS Modelling'!Z65</f>
        <v>49098641.671162784</v>
      </c>
      <c r="AB50" s="17">
        <f>'BS Modelling'!AB65</f>
        <v>49098641.671162784</v>
      </c>
      <c r="AD50" s="17">
        <f>'BS Modelling'!AD65</f>
        <v>49098641.671162784</v>
      </c>
    </row>
    <row r="52" spans="2:34" ht="86.4" x14ac:dyDescent="0.3">
      <c r="B52" s="37" t="s">
        <v>154</v>
      </c>
    </row>
    <row r="54" spans="2:34" s="6" customFormat="1" ht="15" thickBot="1" x14ac:dyDescent="0.35">
      <c r="B54" s="14" t="s">
        <v>186</v>
      </c>
      <c r="AH54" s="15"/>
    </row>
    <row r="55" spans="2:34" s="6" customFormat="1" ht="15" thickBot="1" x14ac:dyDescent="0.35">
      <c r="B55" s="14" t="s">
        <v>43</v>
      </c>
      <c r="AH55" s="15"/>
    </row>
    <row r="56" spans="2:34" x14ac:dyDescent="0.3">
      <c r="B56" s="16" t="s">
        <v>31</v>
      </c>
      <c r="D56" s="4">
        <v>18143</v>
      </c>
      <c r="F56" s="4">
        <v>30259</v>
      </c>
      <c r="H56" s="4">
        <f>H35</f>
        <v>36741</v>
      </c>
      <c r="J56" s="4">
        <f>J35</f>
        <v>62870</v>
      </c>
      <c r="L56" s="4">
        <f>L35</f>
        <v>51776</v>
      </c>
      <c r="N56" s="17">
        <f>N35</f>
        <v>93019.403437275818</v>
      </c>
      <c r="O56" s="17"/>
      <c r="P56" s="17">
        <f>P35</f>
        <v>137211.32990897077</v>
      </c>
      <c r="Q56" s="17"/>
      <c r="R56" s="17">
        <f>R35</f>
        <v>177591.2402715538</v>
      </c>
      <c r="S56" s="17"/>
      <c r="T56" s="17">
        <f>T35</f>
        <v>186999.567492806</v>
      </c>
      <c r="U56" s="17"/>
      <c r="V56" s="17">
        <f>V35</f>
        <v>40007.930953384537</v>
      </c>
      <c r="W56" s="17"/>
      <c r="X56" s="17">
        <f>X35</f>
        <v>211427.25081639935</v>
      </c>
      <c r="Y56" s="17"/>
      <c r="Z56" s="17">
        <f>Z35</f>
        <v>177623.04945923964</v>
      </c>
      <c r="AA56" s="17"/>
      <c r="AB56" s="17">
        <f>AB35</f>
        <v>175292.44728118763</v>
      </c>
      <c r="AC56" s="17"/>
      <c r="AD56" s="17">
        <f>AD35</f>
        <v>174169.25291487138</v>
      </c>
    </row>
    <row r="57" spans="2:34" s="6" customFormat="1" ht="43.2" x14ac:dyDescent="0.3">
      <c r="B57" s="15" t="s">
        <v>44</v>
      </c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H57" s="15"/>
    </row>
    <row r="58" spans="2:34" ht="28.8" x14ac:dyDescent="0.3">
      <c r="B58" s="16" t="s">
        <v>45</v>
      </c>
      <c r="D58" s="4">
        <v>11115</v>
      </c>
      <c r="F58" s="4">
        <v>11238</v>
      </c>
      <c r="H58" s="4">
        <v>12829</v>
      </c>
      <c r="J58" s="4">
        <v>15848</v>
      </c>
      <c r="L58" s="4">
        <v>18477</v>
      </c>
      <c r="N58" s="17">
        <f>N15</f>
        <v>6337.0612499999997</v>
      </c>
      <c r="O58" s="17"/>
      <c r="P58" s="17">
        <f>('BS Modelling'!P86*'BS Modelling'!$D$79)/1000</f>
        <v>14677.763285000001</v>
      </c>
      <c r="Q58" s="17"/>
      <c r="R58" s="17">
        <f>('BS Modelling'!R86*'BS Modelling'!$D$79)/1000</f>
        <v>14677.763285000001</v>
      </c>
      <c r="S58" s="17"/>
      <c r="T58" s="17">
        <f>('BS Modelling'!T86*'BS Modelling'!$D$79)/1000</f>
        <v>14677.763285000001</v>
      </c>
      <c r="U58" s="17"/>
      <c r="V58" s="17">
        <f>('BS Modelling'!V86*'BS Modelling'!$D$79)/1000</f>
        <v>177108.84349999999</v>
      </c>
      <c r="W58" s="17"/>
      <c r="X58" s="17">
        <f>('BS Modelling'!X86*'BS Modelling'!$D$79)/1000</f>
        <v>0</v>
      </c>
      <c r="Y58" s="17"/>
      <c r="Z58" s="17">
        <f>('BS Modelling'!Z86*'BS Modelling'!$D$79)/1000</f>
        <v>0</v>
      </c>
      <c r="AA58" s="17"/>
      <c r="AB58" s="17">
        <f>('BS Modelling'!AB86*'BS Modelling'!$D$79)/1000</f>
        <v>0</v>
      </c>
      <c r="AC58" s="17"/>
      <c r="AD58" s="17">
        <f>('BS Modelling'!AD86*'BS Modelling'!$D$79)/1000</f>
        <v>0</v>
      </c>
    </row>
    <row r="59" spans="2:34" ht="28.8" x14ac:dyDescent="0.3">
      <c r="B59" s="16" t="s">
        <v>46</v>
      </c>
      <c r="D59" s="4">
        <v>11197</v>
      </c>
      <c r="F59" s="4">
        <v>18958</v>
      </c>
      <c r="H59" s="4">
        <v>32453</v>
      </c>
      <c r="J59" s="4">
        <v>35335</v>
      </c>
      <c r="L59" s="4">
        <v>38229</v>
      </c>
      <c r="N59" s="17">
        <f>N16</f>
        <v>30361.638008918671</v>
      </c>
      <c r="O59" s="17"/>
      <c r="P59" s="17">
        <f>'IS Modelling'!P108+'IS Modelling'!P116</f>
        <v>33130.497167088804</v>
      </c>
      <c r="Q59" s="17"/>
      <c r="R59" s="17">
        <f>'IS Modelling'!R108+'IS Modelling'!R116</f>
        <v>36044.344349672261</v>
      </c>
      <c r="S59" s="17"/>
      <c r="T59" s="17">
        <f>'IS Modelling'!T108+'IS Modelling'!T116</f>
        <v>39768.414445415772</v>
      </c>
      <c r="U59" s="17"/>
      <c r="V59" s="17">
        <f>'IS Modelling'!V108+'IS Modelling'!V116</f>
        <v>42719.002839727349</v>
      </c>
      <c r="W59" s="17"/>
      <c r="X59" s="17">
        <f>'IS Modelling'!X108+'IS Modelling'!X116</f>
        <v>43565.498071681672</v>
      </c>
      <c r="Y59" s="17"/>
      <c r="Z59" s="17">
        <f>'IS Modelling'!Z108+'IS Modelling'!Z116</f>
        <v>46607.99400283429</v>
      </c>
      <c r="AA59" s="17"/>
      <c r="AB59" s="17">
        <f>'IS Modelling'!AB108+'IS Modelling'!AB116</f>
        <v>46976.49321959159</v>
      </c>
      <c r="AC59" s="17"/>
      <c r="AD59" s="17">
        <f>'IS Modelling'!AD108+'IS Modelling'!AD116</f>
        <v>49899.501068104553</v>
      </c>
    </row>
    <row r="60" spans="2:34" x14ac:dyDescent="0.3">
      <c r="B60" s="16" t="s">
        <v>47</v>
      </c>
      <c r="D60" s="4">
        <v>3383</v>
      </c>
      <c r="F60" s="4">
        <v>13858</v>
      </c>
      <c r="H60" s="4">
        <v>16493</v>
      </c>
      <c r="J60" s="4">
        <v>3464</v>
      </c>
      <c r="L60" s="4">
        <v>5190</v>
      </c>
      <c r="N60" s="17">
        <v>0</v>
      </c>
      <c r="O60" s="17"/>
      <c r="P60" s="17">
        <v>0</v>
      </c>
      <c r="Q60" s="17"/>
      <c r="R60" s="17">
        <v>0</v>
      </c>
      <c r="S60" s="17"/>
      <c r="T60" s="17">
        <v>0</v>
      </c>
      <c r="U60" s="17"/>
      <c r="V60" s="17">
        <v>0</v>
      </c>
      <c r="W60" s="17"/>
      <c r="X60" s="17">
        <v>0</v>
      </c>
      <c r="Y60" s="17"/>
      <c r="Z60" s="17">
        <v>0</v>
      </c>
      <c r="AA60" s="17"/>
      <c r="AB60" s="17">
        <v>0</v>
      </c>
      <c r="AC60" s="17"/>
      <c r="AD60" s="17">
        <v>0</v>
      </c>
    </row>
    <row r="61" spans="2:34" ht="28.8" x14ac:dyDescent="0.3">
      <c r="B61" s="16" t="s">
        <v>155</v>
      </c>
      <c r="D61" s="4">
        <v>3670</v>
      </c>
      <c r="F61" s="4">
        <v>-347</v>
      </c>
      <c r="H61" s="4">
        <v>0</v>
      </c>
      <c r="J61" s="4">
        <v>0</v>
      </c>
      <c r="L61" s="4">
        <v>0</v>
      </c>
      <c r="N61" s="17">
        <v>0</v>
      </c>
      <c r="O61" s="17"/>
      <c r="P61" s="17">
        <v>0</v>
      </c>
      <c r="Q61" s="17"/>
      <c r="R61" s="17">
        <v>0</v>
      </c>
      <c r="S61" s="17"/>
      <c r="T61" s="17">
        <v>0</v>
      </c>
      <c r="U61" s="17"/>
      <c r="V61" s="17">
        <v>0</v>
      </c>
      <c r="W61" s="17"/>
      <c r="X61" s="17">
        <v>0</v>
      </c>
      <c r="Y61" s="17"/>
      <c r="Z61" s="17">
        <v>0</v>
      </c>
      <c r="AA61" s="17"/>
      <c r="AB61" s="17">
        <v>0</v>
      </c>
      <c r="AC61" s="17"/>
      <c r="AD61" s="17">
        <v>0</v>
      </c>
    </row>
    <row r="62" spans="2:34" ht="28.8" x14ac:dyDescent="0.3">
      <c r="B62" s="16" t="s">
        <v>48</v>
      </c>
      <c r="D62" s="4">
        <v>-3005</v>
      </c>
      <c r="F62" s="4">
        <v>735</v>
      </c>
      <c r="H62" s="4">
        <v>3133</v>
      </c>
      <c r="J62" s="4">
        <v>-10599</v>
      </c>
      <c r="L62" s="4">
        <v>-10838</v>
      </c>
      <c r="N62" s="17">
        <v>0</v>
      </c>
      <c r="O62" s="17"/>
      <c r="P62" s="17">
        <v>0</v>
      </c>
      <c r="Q62" s="17"/>
      <c r="R62" s="17">
        <v>0</v>
      </c>
      <c r="S62" s="17"/>
      <c r="T62" s="17">
        <v>0</v>
      </c>
      <c r="U62" s="17"/>
      <c r="V62" s="17">
        <v>0</v>
      </c>
      <c r="W62" s="17"/>
      <c r="X62" s="17">
        <v>0</v>
      </c>
      <c r="Y62" s="17"/>
      <c r="Z62" s="17">
        <v>0</v>
      </c>
      <c r="AA62" s="17"/>
      <c r="AB62" s="17">
        <v>0</v>
      </c>
      <c r="AC62" s="17"/>
      <c r="AD62" s="17">
        <v>0</v>
      </c>
    </row>
    <row r="63" spans="2:34" ht="28.8" x14ac:dyDescent="0.3">
      <c r="B63" s="16" t="s">
        <v>49</v>
      </c>
      <c r="D63" s="4">
        <v>0</v>
      </c>
      <c r="F63" s="4">
        <v>0</v>
      </c>
      <c r="H63" s="4">
        <v>1831</v>
      </c>
      <c r="J63" s="4">
        <v>0</v>
      </c>
      <c r="L63" s="4">
        <v>0</v>
      </c>
      <c r="N63" s="17">
        <v>0</v>
      </c>
      <c r="O63" s="17"/>
      <c r="P63" s="17">
        <v>0</v>
      </c>
      <c r="Q63" s="17"/>
      <c r="R63" s="17">
        <v>0</v>
      </c>
      <c r="S63" s="17"/>
      <c r="T63" s="17">
        <v>0</v>
      </c>
      <c r="U63" s="17"/>
      <c r="V63" s="17">
        <v>0</v>
      </c>
      <c r="W63" s="17"/>
      <c r="X63" s="17">
        <v>0</v>
      </c>
      <c r="Y63" s="17"/>
      <c r="Z63" s="17">
        <v>0</v>
      </c>
      <c r="AA63" s="17"/>
      <c r="AB63" s="17">
        <v>0</v>
      </c>
      <c r="AC63" s="17"/>
      <c r="AD63" s="17">
        <v>0</v>
      </c>
    </row>
    <row r="64" spans="2:34" ht="28.8" x14ac:dyDescent="0.3">
      <c r="B64" s="16" t="s">
        <v>50</v>
      </c>
      <c r="D64" s="4">
        <v>9600</v>
      </c>
      <c r="F64" s="4">
        <v>0</v>
      </c>
      <c r="H64" s="4">
        <v>0</v>
      </c>
      <c r="J64" s="4">
        <v>9827</v>
      </c>
      <c r="L64" s="4">
        <v>701</v>
      </c>
      <c r="N64" s="17">
        <v>0</v>
      </c>
      <c r="O64" s="17"/>
      <c r="P64" s="17">
        <v>0</v>
      </c>
      <c r="Q64" s="17"/>
      <c r="R64" s="17">
        <v>0</v>
      </c>
      <c r="S64" s="17"/>
      <c r="T64" s="17">
        <v>0</v>
      </c>
      <c r="U64" s="17"/>
      <c r="V64" s="17">
        <v>0</v>
      </c>
      <c r="W64" s="17"/>
      <c r="X64" s="17">
        <v>0</v>
      </c>
      <c r="Y64" s="17"/>
      <c r="Z64" s="17">
        <v>0</v>
      </c>
      <c r="AA64" s="17"/>
      <c r="AB64" s="17">
        <v>0</v>
      </c>
      <c r="AC64" s="17"/>
      <c r="AD64" s="17">
        <v>0</v>
      </c>
    </row>
    <row r="65" spans="2:34" ht="43.2" x14ac:dyDescent="0.3">
      <c r="B65" s="16" t="s">
        <v>51</v>
      </c>
      <c r="D65" s="4">
        <v>0</v>
      </c>
      <c r="F65" s="4">
        <v>1172</v>
      </c>
      <c r="H65" s="4">
        <v>0</v>
      </c>
      <c r="J65" s="4">
        <v>1147</v>
      </c>
      <c r="L65" s="4">
        <v>5569</v>
      </c>
      <c r="N65" s="17">
        <v>0</v>
      </c>
      <c r="O65" s="17"/>
      <c r="P65" s="17">
        <v>0</v>
      </c>
      <c r="Q65" s="17"/>
      <c r="R65" s="17">
        <v>0</v>
      </c>
      <c r="S65" s="17"/>
      <c r="T65" s="17">
        <v>0</v>
      </c>
      <c r="U65" s="17"/>
      <c r="V65" s="17">
        <v>0</v>
      </c>
      <c r="W65" s="17"/>
      <c r="X65" s="17">
        <v>0</v>
      </c>
      <c r="Y65" s="17"/>
      <c r="Z65" s="17">
        <v>0</v>
      </c>
      <c r="AA65" s="17"/>
      <c r="AB65" s="17">
        <v>0</v>
      </c>
      <c r="AC65" s="17"/>
      <c r="AD65" s="17">
        <v>0</v>
      </c>
    </row>
    <row r="66" spans="2:34" x14ac:dyDescent="0.3">
      <c r="B66" s="16" t="s">
        <v>52</v>
      </c>
      <c r="D66" s="4">
        <v>0</v>
      </c>
      <c r="F66" s="4">
        <v>0</v>
      </c>
      <c r="H66" s="4">
        <v>0</v>
      </c>
      <c r="J66" s="4">
        <v>3481</v>
      </c>
      <c r="L66" s="4">
        <v>0</v>
      </c>
      <c r="N66" s="17">
        <v>0</v>
      </c>
      <c r="O66" s="17"/>
      <c r="P66" s="17">
        <v>0</v>
      </c>
      <c r="Q66" s="17"/>
      <c r="R66" s="17">
        <v>0</v>
      </c>
      <c r="S66" s="17"/>
      <c r="T66" s="17">
        <v>0</v>
      </c>
      <c r="U66" s="17"/>
      <c r="V66" s="17">
        <v>0</v>
      </c>
      <c r="W66" s="17"/>
      <c r="X66" s="17">
        <v>0</v>
      </c>
      <c r="Y66" s="17"/>
      <c r="Z66" s="17">
        <v>0</v>
      </c>
      <c r="AA66" s="17"/>
      <c r="AB66" s="17">
        <v>0</v>
      </c>
      <c r="AC66" s="17"/>
      <c r="AD66" s="17">
        <v>0</v>
      </c>
    </row>
    <row r="67" spans="2:34" ht="28.8" x14ac:dyDescent="0.3">
      <c r="B67" s="16" t="s">
        <v>53</v>
      </c>
      <c r="D67" s="4">
        <v>-1588</v>
      </c>
      <c r="F67" s="4">
        <v>-3099</v>
      </c>
      <c r="H67" s="4">
        <v>-5987</v>
      </c>
      <c r="J67" s="4">
        <v>-11281</v>
      </c>
      <c r="L67" s="4">
        <v>-10619</v>
      </c>
      <c r="N67" s="17">
        <v>0</v>
      </c>
      <c r="O67" s="17"/>
      <c r="P67" s="17">
        <v>0</v>
      </c>
      <c r="Q67" s="17"/>
      <c r="R67" s="17">
        <v>0</v>
      </c>
      <c r="S67" s="17"/>
      <c r="T67" s="17">
        <v>0</v>
      </c>
      <c r="U67" s="17"/>
      <c r="V67" s="17">
        <v>0</v>
      </c>
      <c r="W67" s="17"/>
      <c r="X67" s="17">
        <v>0</v>
      </c>
      <c r="Y67" s="17"/>
      <c r="Z67" s="17">
        <v>0</v>
      </c>
      <c r="AA67" s="17"/>
      <c r="AB67" s="17">
        <v>0</v>
      </c>
      <c r="AC67" s="17"/>
      <c r="AD67" s="17">
        <v>0</v>
      </c>
    </row>
    <row r="68" spans="2:34" x14ac:dyDescent="0.3">
      <c r="B68" s="16" t="s">
        <v>54</v>
      </c>
      <c r="D68" s="4">
        <v>-40</v>
      </c>
      <c r="F68" s="4">
        <v>51</v>
      </c>
      <c r="H68" s="4">
        <v>1284</v>
      </c>
      <c r="J68" s="4">
        <v>271</v>
      </c>
      <c r="L68" s="4">
        <v>452</v>
      </c>
      <c r="N68" s="17">
        <v>0</v>
      </c>
      <c r="O68" s="17"/>
      <c r="P68" s="17">
        <v>0</v>
      </c>
      <c r="Q68" s="17"/>
      <c r="R68" s="17">
        <v>0</v>
      </c>
      <c r="S68" s="17"/>
      <c r="T68" s="17">
        <v>0</v>
      </c>
      <c r="U68" s="17"/>
      <c r="V68" s="17">
        <v>0</v>
      </c>
      <c r="W68" s="17"/>
      <c r="X68" s="17">
        <v>0</v>
      </c>
      <c r="Y68" s="17"/>
      <c r="Z68" s="17">
        <v>0</v>
      </c>
      <c r="AA68" s="17"/>
      <c r="AB68" s="17">
        <v>0</v>
      </c>
      <c r="AC68" s="17"/>
      <c r="AD68" s="17">
        <v>0</v>
      </c>
    </row>
    <row r="69" spans="2:34" s="6" customFormat="1" ht="28.8" x14ac:dyDescent="0.3">
      <c r="B69" s="15" t="s">
        <v>55</v>
      </c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H69" s="15"/>
    </row>
    <row r="70" spans="2:34" x14ac:dyDescent="0.3">
      <c r="B70" s="16" t="s">
        <v>56</v>
      </c>
      <c r="D70" s="4">
        <v>-21890</v>
      </c>
      <c r="F70" s="4">
        <v>35456</v>
      </c>
      <c r="H70" s="4">
        <v>21405</v>
      </c>
      <c r="J70" s="4">
        <v>-64351</v>
      </c>
      <c r="L70" s="4">
        <v>-22446</v>
      </c>
      <c r="N70" s="17">
        <f>L131-N131</f>
        <v>4075.9595764316618</v>
      </c>
      <c r="O70" s="17"/>
      <c r="P70" s="17">
        <f>N131-P131</f>
        <v>-48587.719030659995</v>
      </c>
      <c r="Q70" s="17"/>
      <c r="R70" s="17">
        <f>P131-R131</f>
        <v>-47885.646086716151</v>
      </c>
      <c r="S70" s="17"/>
      <c r="T70" s="17">
        <f>R131-T131</f>
        <v>-18039.904193167546</v>
      </c>
      <c r="U70" s="17"/>
      <c r="V70" s="17">
        <f>T131-V131</f>
        <v>-22547.520288307423</v>
      </c>
      <c r="W70" s="17"/>
      <c r="X70" s="17">
        <f>V131-X131</f>
        <v>-23906.228328355879</v>
      </c>
      <c r="Y70" s="17"/>
      <c r="Z70" s="17">
        <f>X131-Z131</f>
        <v>16018.073734433623</v>
      </c>
      <c r="AA70" s="17"/>
      <c r="AB70" s="17">
        <f>Z131-AB131</f>
        <v>-4418.0311207218911</v>
      </c>
      <c r="AC70" s="17"/>
      <c r="AD70" s="17">
        <f>AB131-AD131</f>
        <v>-5768.4574504269985</v>
      </c>
    </row>
    <row r="71" spans="2:34" x14ac:dyDescent="0.3">
      <c r="B71" s="16" t="s">
        <v>57</v>
      </c>
      <c r="D71" s="4">
        <v>-500</v>
      </c>
      <c r="F71" s="4">
        <v>518</v>
      </c>
      <c r="H71" s="4">
        <v>4229</v>
      </c>
      <c r="J71" s="4">
        <v>-11262</v>
      </c>
      <c r="L71" s="4">
        <v>-9026</v>
      </c>
      <c r="N71" s="17">
        <f>L132-N132</f>
        <v>-10726.945555687416</v>
      </c>
      <c r="O71" s="17"/>
      <c r="P71" s="17">
        <f>N132-P132</f>
        <v>-30630.384683519427</v>
      </c>
      <c r="Q71" s="17"/>
      <c r="R71" s="17">
        <f>P132-R132</f>
        <v>-30187.787978468928</v>
      </c>
      <c r="S71" s="17"/>
      <c r="T71" s="17">
        <f>R132-T132</f>
        <v>-11372.610530283855</v>
      </c>
      <c r="U71" s="17"/>
      <c r="V71" s="17">
        <f>T132-V132</f>
        <v>-14214.275415038603</v>
      </c>
      <c r="W71" s="17"/>
      <c r="X71" s="17">
        <f>V132-X132</f>
        <v>-15070.824163766985</v>
      </c>
      <c r="Y71" s="17"/>
      <c r="Z71" s="17">
        <f>X132-Z132</f>
        <v>10098.02003804862</v>
      </c>
      <c r="AA71" s="17"/>
      <c r="AB71" s="17">
        <f>Z132-AB132</f>
        <v>-2785.189250931493</v>
      </c>
      <c r="AC71" s="17"/>
      <c r="AD71" s="17">
        <f>AB132-AD132</f>
        <v>-3636.517092428141</v>
      </c>
    </row>
    <row r="72" spans="2:34" x14ac:dyDescent="0.3">
      <c r="B72" s="16" t="s">
        <v>47</v>
      </c>
      <c r="D72" s="4">
        <v>8055</v>
      </c>
      <c r="F72" s="4">
        <v>-7179</v>
      </c>
      <c r="H72" s="4">
        <v>-4711</v>
      </c>
      <c r="J72" s="4">
        <v>-3550</v>
      </c>
      <c r="L72" s="4">
        <v>-4560</v>
      </c>
      <c r="N72" s="17">
        <f>L133-N133+L134-N134+L143-N143</f>
        <v>-4161.9257597218839</v>
      </c>
      <c r="O72" s="17"/>
      <c r="P72" s="17">
        <f>N133-P133+N134-P134+N143-P143</f>
        <v>-7322.0023370169456</v>
      </c>
      <c r="Q72" s="17"/>
      <c r="R72" s="17">
        <f>P133-R133+P134-R134+P143-R143</f>
        <v>-7216.2023563043476</v>
      </c>
      <c r="S72" s="17"/>
      <c r="T72" s="17">
        <f>R133-T133+R134-T134+R143-T143</f>
        <v>-2718.5515866382557</v>
      </c>
      <c r="U72" s="17"/>
      <c r="V72" s="17">
        <f>T133-V133+T134-V134+T143-V143</f>
        <v>-3397.8338464653243</v>
      </c>
      <c r="W72" s="17"/>
      <c r="X72" s="17">
        <f>V133-X133+V134-X134+V143-X143</f>
        <v>-3602.5864803208206</v>
      </c>
      <c r="Y72" s="17"/>
      <c r="Z72" s="17">
        <f>X133-Z133+X134-Z134+X143-Z143</f>
        <v>2413.868682413824</v>
      </c>
      <c r="AA72" s="17"/>
      <c r="AB72" s="17">
        <f>Z133-AB133+Z134-AB134+Z143-AB143</f>
        <v>-665.78211194739197</v>
      </c>
      <c r="AC72" s="17"/>
      <c r="AD72" s="17">
        <f>AB133-AD133+AB134-AD134+AB143-AD143</f>
        <v>-869.28672050558089</v>
      </c>
    </row>
    <row r="73" spans="2:34" ht="28.8" x14ac:dyDescent="0.3">
      <c r="B73" s="16" t="s">
        <v>58</v>
      </c>
      <c r="D73" s="4">
        <v>-1038</v>
      </c>
      <c r="F73" s="4">
        <v>-6226</v>
      </c>
      <c r="H73" s="4">
        <v>-8472</v>
      </c>
      <c r="J73" s="4">
        <v>2319</v>
      </c>
      <c r="L73" s="4">
        <v>-2089</v>
      </c>
      <c r="N73" s="17">
        <f>L135-N135</f>
        <v>-6703.734909765164</v>
      </c>
      <c r="O73" s="17"/>
      <c r="P73" s="17">
        <f>N135-P135</f>
        <v>-8290.4193782231159</v>
      </c>
      <c r="Q73" s="17"/>
      <c r="R73" s="17">
        <f>P135-R135</f>
        <v>-8170.6261618400786</v>
      </c>
      <c r="S73" s="17"/>
      <c r="T73" s="17">
        <f>R135-T135</f>
        <v>-3078.1105655515566</v>
      </c>
      <c r="U73" s="17"/>
      <c r="V73" s="17">
        <f>T135-V135</f>
        <v>-3847.2355331417421</v>
      </c>
      <c r="W73" s="17"/>
      <c r="X73" s="17">
        <f>V135-X135</f>
        <v>-4079.0690023658826</v>
      </c>
      <c r="Y73" s="17"/>
      <c r="Z73" s="17">
        <f>X135-Z135</f>
        <v>2733.1299254026962</v>
      </c>
      <c r="AA73" s="17"/>
      <c r="AB73" s="17">
        <f>Z135-AB135</f>
        <v>-753.83927353561739</v>
      </c>
      <c r="AC73" s="17"/>
      <c r="AD73" s="17">
        <f>AB135-AD135</f>
        <v>-984.25965210052527</v>
      </c>
    </row>
    <row r="74" spans="2:34" ht="28.8" x14ac:dyDescent="0.3">
      <c r="B74" s="28" t="s">
        <v>93</v>
      </c>
      <c r="D74" s="4">
        <v>0</v>
      </c>
      <c r="F74" s="4">
        <v>0</v>
      </c>
      <c r="H74" s="4">
        <v>0</v>
      </c>
      <c r="J74" s="4">
        <v>0</v>
      </c>
      <c r="L74" s="4">
        <v>0</v>
      </c>
      <c r="N74" s="4">
        <f>L136-N136</f>
        <v>0</v>
      </c>
      <c r="O74" s="17"/>
      <c r="P74" s="4">
        <f>N136-P136</f>
        <v>0</v>
      </c>
      <c r="Q74" s="17"/>
      <c r="R74" s="4">
        <f>P136-R136</f>
        <v>0</v>
      </c>
      <c r="S74" s="17"/>
      <c r="T74" s="4">
        <f>R136-T136</f>
        <v>0</v>
      </c>
      <c r="U74" s="17"/>
      <c r="V74" s="4">
        <f>T136-V136</f>
        <v>0</v>
      </c>
      <c r="W74" s="17"/>
      <c r="X74" s="4">
        <f>V136-X136</f>
        <v>0</v>
      </c>
      <c r="Y74" s="17"/>
      <c r="Z74" s="4">
        <f>X136-Z136</f>
        <v>0</v>
      </c>
      <c r="AA74" s="17"/>
      <c r="AB74" s="4">
        <f>Z136-AB136</f>
        <v>0</v>
      </c>
      <c r="AC74" s="17"/>
      <c r="AD74" s="4">
        <f>AB136-AD136</f>
        <v>0</v>
      </c>
    </row>
    <row r="75" spans="2:34" ht="28.8" x14ac:dyDescent="0.3">
      <c r="B75" s="16" t="s">
        <v>96</v>
      </c>
      <c r="D75" s="4">
        <v>0</v>
      </c>
      <c r="F75" s="4">
        <v>0</v>
      </c>
      <c r="H75" s="4">
        <v>0</v>
      </c>
      <c r="J75" s="4">
        <v>0</v>
      </c>
      <c r="L75" s="4">
        <v>0</v>
      </c>
      <c r="N75" s="17">
        <f>L140-N140</f>
        <v>0</v>
      </c>
      <c r="O75" s="17"/>
      <c r="P75" s="17">
        <f>N140-P140</f>
        <v>0</v>
      </c>
      <c r="Q75" s="17"/>
      <c r="R75" s="17">
        <f>P140-R140</f>
        <v>0</v>
      </c>
      <c r="S75" s="17"/>
      <c r="T75" s="17">
        <f>R140-T140</f>
        <v>0</v>
      </c>
      <c r="U75" s="17"/>
      <c r="V75" s="17">
        <f>T140-V140</f>
        <v>0</v>
      </c>
      <c r="W75" s="17"/>
      <c r="X75" s="17">
        <f>V140-X140</f>
        <v>0</v>
      </c>
      <c r="Y75" s="17"/>
      <c r="Z75" s="17">
        <f>X140-Z140</f>
        <v>0</v>
      </c>
      <c r="AA75" s="17"/>
      <c r="AB75" s="17">
        <f>Z140-AB140</f>
        <v>0</v>
      </c>
      <c r="AC75" s="17"/>
      <c r="AD75" s="17">
        <f>AB140-AD140</f>
        <v>0</v>
      </c>
    </row>
    <row r="76" spans="2:34" x14ac:dyDescent="0.3">
      <c r="B76" s="16" t="s">
        <v>97</v>
      </c>
      <c r="D76" s="4">
        <v>0</v>
      </c>
      <c r="F76" s="4">
        <v>0</v>
      </c>
      <c r="H76" s="4">
        <v>0</v>
      </c>
      <c r="J76" s="4">
        <v>0</v>
      </c>
      <c r="L76" s="4">
        <v>0</v>
      </c>
      <c r="N76" s="17">
        <f>L141-N141-'IS Modelling'!N116</f>
        <v>0</v>
      </c>
      <c r="O76" s="17"/>
      <c r="P76" s="17">
        <f>N141-P141-'IS Modelling'!P116</f>
        <v>0</v>
      </c>
      <c r="Q76" s="17"/>
      <c r="R76" s="17">
        <f>P141-R141-'IS Modelling'!R116</f>
        <v>0</v>
      </c>
      <c r="S76" s="17"/>
      <c r="T76" s="17">
        <f>R141-T141-'IS Modelling'!T116</f>
        <v>0</v>
      </c>
      <c r="U76" s="17"/>
      <c r="V76" s="17">
        <f>T141-V141-'IS Modelling'!V116</f>
        <v>0</v>
      </c>
      <c r="W76" s="17"/>
      <c r="X76" s="17">
        <f>V141-X141-'IS Modelling'!X116</f>
        <v>0</v>
      </c>
      <c r="Y76" s="17"/>
      <c r="Z76" s="17">
        <f>X141-Z141-'IS Modelling'!Z116</f>
        <v>0</v>
      </c>
      <c r="AA76" s="17"/>
      <c r="AB76" s="17">
        <f>Z141-AB141-'IS Modelling'!AB116</f>
        <v>0</v>
      </c>
      <c r="AC76" s="17"/>
      <c r="AD76" s="17">
        <f>AB141-AD141-'IS Modelling'!AD116</f>
        <v>0</v>
      </c>
    </row>
    <row r="77" spans="2:34" x14ac:dyDescent="0.3">
      <c r="B77" s="16" t="s">
        <v>98</v>
      </c>
      <c r="D77" s="4">
        <v>0</v>
      </c>
      <c r="F77" s="4">
        <v>0</v>
      </c>
      <c r="H77" s="4">
        <v>0</v>
      </c>
      <c r="J77" s="4">
        <v>0</v>
      </c>
      <c r="L77" s="4">
        <v>0</v>
      </c>
      <c r="N77" s="17">
        <f>L142-N142</f>
        <v>0</v>
      </c>
      <c r="O77" s="17"/>
      <c r="P77" s="17">
        <f>N142-P142</f>
        <v>0</v>
      </c>
      <c r="Q77" s="17"/>
      <c r="R77" s="17">
        <f>P142-R142</f>
        <v>0</v>
      </c>
      <c r="S77" s="17"/>
      <c r="T77" s="17">
        <f>R142-T142</f>
        <v>0</v>
      </c>
      <c r="U77" s="17"/>
      <c r="V77" s="17">
        <f>T142-V142</f>
        <v>0</v>
      </c>
      <c r="W77" s="17"/>
      <c r="X77" s="17">
        <f>V142-X142</f>
        <v>0</v>
      </c>
      <c r="Y77" s="17"/>
      <c r="Z77" s="17">
        <f>X142-Z142</f>
        <v>0</v>
      </c>
      <c r="AA77" s="17"/>
      <c r="AB77" s="17">
        <f>Z142-AB142</f>
        <v>0</v>
      </c>
      <c r="AC77" s="17"/>
      <c r="AD77" s="17">
        <f>AB142-AD142</f>
        <v>0</v>
      </c>
    </row>
    <row r="78" spans="2:34" x14ac:dyDescent="0.3">
      <c r="B78" s="16" t="s">
        <v>205</v>
      </c>
      <c r="D78" s="4">
        <v>0</v>
      </c>
      <c r="F78" s="4">
        <v>0</v>
      </c>
      <c r="H78" s="4">
        <v>0</v>
      </c>
      <c r="J78" s="4">
        <v>0</v>
      </c>
      <c r="L78" s="4">
        <v>0</v>
      </c>
      <c r="N78" s="17">
        <f>L144-N144</f>
        <v>-2353.1889151556861</v>
      </c>
      <c r="O78" s="17"/>
      <c r="P78" s="17">
        <f>N144-P144</f>
        <v>-1748.3320003791514</v>
      </c>
      <c r="Q78" s="17"/>
      <c r="R78" s="17">
        <f>P144-R144</f>
        <v>-1723.0693080983538</v>
      </c>
      <c r="S78" s="17"/>
      <c r="T78" s="17">
        <f>R144-T144</f>
        <v>-649.12991212422639</v>
      </c>
      <c r="U78" s="17"/>
      <c r="V78" s="17">
        <f>T144-V144</f>
        <v>-811.32747195583761</v>
      </c>
      <c r="W78" s="17"/>
      <c r="X78" s="17">
        <f>V144-X144</f>
        <v>-860.2178663390423</v>
      </c>
      <c r="Y78" s="17"/>
      <c r="Z78" s="17">
        <f>X144-Z144</f>
        <v>576.37838229597219</v>
      </c>
      <c r="AA78" s="17"/>
      <c r="AB78" s="17">
        <f>Z144-AB144</f>
        <v>-158.97402350077209</v>
      </c>
      <c r="AC78" s="17"/>
      <c r="AD78" s="17">
        <f>AB144-AD144</f>
        <v>-207.56641708253483</v>
      </c>
    </row>
    <row r="79" spans="2:34" ht="28.8" x14ac:dyDescent="0.3">
      <c r="B79" s="28" t="s">
        <v>101</v>
      </c>
      <c r="D79" s="4">
        <v>0</v>
      </c>
      <c r="F79" s="4">
        <v>0</v>
      </c>
      <c r="H79" s="4">
        <v>0</v>
      </c>
      <c r="J79" s="4">
        <v>0</v>
      </c>
      <c r="L79" s="4">
        <v>0</v>
      </c>
      <c r="N79" s="17">
        <f>L145-N145</f>
        <v>0</v>
      </c>
      <c r="O79" s="17"/>
      <c r="P79" s="17">
        <f>N145-P145</f>
        <v>0</v>
      </c>
      <c r="Q79" s="17"/>
      <c r="R79" s="17">
        <f>P145-R145</f>
        <v>0</v>
      </c>
      <c r="S79" s="17"/>
      <c r="T79" s="17">
        <f>R145-T145</f>
        <v>0</v>
      </c>
      <c r="U79" s="17"/>
      <c r="V79" s="17">
        <f>T145-V145</f>
        <v>0</v>
      </c>
      <c r="W79" s="17"/>
      <c r="X79" s="17">
        <f>V145-X145</f>
        <v>0</v>
      </c>
      <c r="Y79" s="17"/>
      <c r="Z79" s="17">
        <f>X145-Z145</f>
        <v>0</v>
      </c>
      <c r="AA79" s="17"/>
      <c r="AB79" s="17">
        <f>Z145-AB145</f>
        <v>0</v>
      </c>
      <c r="AC79" s="17"/>
      <c r="AD79" s="17">
        <f>AB145-AD145</f>
        <v>0</v>
      </c>
    </row>
    <row r="80" spans="2:34" x14ac:dyDescent="0.3">
      <c r="B80" s="16" t="s">
        <v>59</v>
      </c>
      <c r="D80" s="4">
        <v>274</v>
      </c>
      <c r="F80" s="4">
        <v>-551</v>
      </c>
      <c r="H80" s="4">
        <v>-9279</v>
      </c>
      <c r="J80" s="4">
        <v>4749</v>
      </c>
      <c r="L80" s="4">
        <v>-14791</v>
      </c>
      <c r="N80" s="17">
        <f>N150-L150</f>
        <v>16387.669325659692</v>
      </c>
      <c r="O80" s="17"/>
      <c r="P80" s="17">
        <f>P150-N150</f>
        <v>18450.280528784395</v>
      </c>
      <c r="Q80" s="17"/>
      <c r="R80" s="17">
        <f>R150-P150</f>
        <v>18183.681416377833</v>
      </c>
      <c r="S80" s="17"/>
      <c r="T80" s="17">
        <f>T150-R150</f>
        <v>6850.3173171456001</v>
      </c>
      <c r="U80" s="17"/>
      <c r="V80" s="17">
        <f>V150-T150</f>
        <v>8562.000498216803</v>
      </c>
      <c r="W80" s="17"/>
      <c r="X80" s="17">
        <f>X150-V150</f>
        <v>9077.9445473661617</v>
      </c>
      <c r="Y80" s="17"/>
      <c r="Z80" s="17">
        <f>Z150-X150</f>
        <v>-6082.5648914401972</v>
      </c>
      <c r="AA80" s="17"/>
      <c r="AB80" s="17">
        <f>AB150-Z150</f>
        <v>1677.6649570806476</v>
      </c>
      <c r="AC80" s="17"/>
      <c r="AD80" s="17">
        <f>AD150-AB150</f>
        <v>2190.4641811148758</v>
      </c>
    </row>
    <row r="81" spans="2:34" ht="28.8" x14ac:dyDescent="0.3">
      <c r="B81" s="16" t="s">
        <v>60</v>
      </c>
      <c r="D81" s="4">
        <v>169</v>
      </c>
      <c r="F81" s="4">
        <v>7</v>
      </c>
      <c r="H81" s="4">
        <v>2685</v>
      </c>
      <c r="J81" s="4">
        <v>45</v>
      </c>
      <c r="L81" s="4">
        <v>624</v>
      </c>
      <c r="N81" s="17">
        <f>N151-L151</f>
        <v>1322.2530435570998</v>
      </c>
      <c r="O81" s="17"/>
      <c r="P81" s="17">
        <f>P151-N151</f>
        <v>2780.1055175759657</v>
      </c>
      <c r="Q81" s="17"/>
      <c r="R81" s="17">
        <f>R151-P151</f>
        <v>2739.9341140991437</v>
      </c>
      <c r="S81" s="17"/>
      <c r="T81" s="17">
        <f>T151-R151</f>
        <v>1032.2122170896582</v>
      </c>
      <c r="U81" s="17"/>
      <c r="V81" s="17">
        <f>V151-T151</f>
        <v>1290.130238911277</v>
      </c>
      <c r="W81" s="17"/>
      <c r="X81" s="17">
        <f>X151-V151</f>
        <v>1367.8731705465343</v>
      </c>
      <c r="Y81" s="17"/>
      <c r="Z81" s="17">
        <f>Z151-X151</f>
        <v>-916.52656388205469</v>
      </c>
      <c r="AA81" s="17"/>
      <c r="AB81" s="17">
        <f>AB151-Z151</f>
        <v>252.7921240301639</v>
      </c>
      <c r="AC81" s="17"/>
      <c r="AD81" s="17">
        <f>AD151-AB151</f>
        <v>330.06119047725952</v>
      </c>
    </row>
    <row r="82" spans="2:34" x14ac:dyDescent="0.3">
      <c r="B82" s="16" t="s">
        <v>61</v>
      </c>
      <c r="D82" s="4">
        <v>1649</v>
      </c>
      <c r="F82" s="4">
        <v>2092</v>
      </c>
      <c r="H82" s="4">
        <v>4539</v>
      </c>
      <c r="J82" s="4">
        <v>2680</v>
      </c>
      <c r="L82" s="4">
        <v>2236</v>
      </c>
      <c r="N82" s="17">
        <f>N152-L152</f>
        <v>7410.595756091061</v>
      </c>
      <c r="O82" s="17"/>
      <c r="P82" s="17">
        <f>P152-N152</f>
        <v>15164.487013630605</v>
      </c>
      <c r="Q82" s="17"/>
      <c r="R82" s="17">
        <f>R152-P152</f>
        <v>14945.366292315426</v>
      </c>
      <c r="S82" s="17"/>
      <c r="T82" s="17">
        <f>T152-R152</f>
        <v>5630.3505972734129</v>
      </c>
      <c r="U82" s="17"/>
      <c r="V82" s="17">
        <f>V152-T152</f>
        <v>7037.201692589224</v>
      </c>
      <c r="W82" s="17"/>
      <c r="X82" s="17">
        <f>X152-V152</f>
        <v>7461.2617398540315</v>
      </c>
      <c r="Y82" s="17"/>
      <c r="Z82" s="17">
        <f>Z152-X152</f>
        <v>-4999.3264959797089</v>
      </c>
      <c r="AA82" s="17"/>
      <c r="AB82" s="17">
        <f>AB152-Z152</f>
        <v>1378.8911455943598</v>
      </c>
      <c r="AC82" s="17"/>
      <c r="AD82" s="17">
        <f>AD152-AB152</f>
        <v>1800.3664267606655</v>
      </c>
    </row>
    <row r="83" spans="2:34" x14ac:dyDescent="0.3">
      <c r="B83" s="16" t="s">
        <v>62</v>
      </c>
      <c r="D83" s="4">
        <v>0</v>
      </c>
      <c r="F83" s="4">
        <v>0</v>
      </c>
      <c r="H83" s="4">
        <v>299</v>
      </c>
      <c r="J83" s="4">
        <v>-8</v>
      </c>
      <c r="L83" s="4">
        <v>0</v>
      </c>
      <c r="N83" s="17">
        <f>N156-L156</f>
        <v>0</v>
      </c>
      <c r="O83" s="17"/>
      <c r="P83" s="17">
        <f>P156-N156</f>
        <v>0</v>
      </c>
      <c r="Q83" s="17"/>
      <c r="R83" s="17">
        <f>R156-P156</f>
        <v>0</v>
      </c>
      <c r="S83" s="17"/>
      <c r="T83" s="17">
        <f>T156-R156</f>
        <v>0</v>
      </c>
      <c r="U83" s="17"/>
      <c r="V83" s="17">
        <f>V156-T156</f>
        <v>0</v>
      </c>
      <c r="W83" s="17"/>
      <c r="X83" s="17">
        <f>X156-V156</f>
        <v>0</v>
      </c>
      <c r="Y83" s="17"/>
      <c r="Z83" s="17">
        <f>Z156-X156</f>
        <v>0</v>
      </c>
      <c r="AA83" s="17"/>
      <c r="AB83" s="17">
        <f>AB156-Z156</f>
        <v>0</v>
      </c>
      <c r="AC83" s="17"/>
      <c r="AD83" s="17">
        <f>AD156-AB156</f>
        <v>0</v>
      </c>
    </row>
    <row r="84" spans="2:34" x14ac:dyDescent="0.3">
      <c r="B84" s="28" t="s">
        <v>149</v>
      </c>
      <c r="D84" s="4">
        <v>0</v>
      </c>
      <c r="F84" s="4">
        <v>0</v>
      </c>
      <c r="H84" s="4">
        <v>0</v>
      </c>
      <c r="J84" s="4">
        <v>0</v>
      </c>
      <c r="L84" s="4">
        <v>0</v>
      </c>
      <c r="N84" s="17">
        <f>N157-L157+N166-L166</f>
        <v>0</v>
      </c>
      <c r="O84" s="17"/>
      <c r="P84" s="17">
        <f>P157-N157+P166-N166</f>
        <v>0</v>
      </c>
      <c r="Q84" s="17"/>
      <c r="R84" s="17">
        <f>R157-P157+R166-P166</f>
        <v>0</v>
      </c>
      <c r="S84" s="17"/>
      <c r="T84" s="17">
        <f>T157-R157+T166-R166</f>
        <v>0</v>
      </c>
      <c r="U84" s="17"/>
      <c r="V84" s="17">
        <f>V157-T157+V166-T166</f>
        <v>0</v>
      </c>
      <c r="W84" s="17"/>
      <c r="X84" s="17">
        <f>X157-V157+X166-V166</f>
        <v>0</v>
      </c>
      <c r="Y84" s="17"/>
      <c r="Z84" s="17">
        <f>Z157-X157+Z166-X166</f>
        <v>0</v>
      </c>
      <c r="AA84" s="17"/>
      <c r="AB84" s="17">
        <f>AB157-Z157+AB166-Z166</f>
        <v>0</v>
      </c>
      <c r="AC84" s="17"/>
      <c r="AD84" s="17">
        <f>AD157-AB157+AD166-AB166</f>
        <v>0</v>
      </c>
    </row>
    <row r="85" spans="2:34" ht="28.8" x14ac:dyDescent="0.3">
      <c r="B85" s="28" t="s">
        <v>109</v>
      </c>
      <c r="D85" s="4">
        <v>0</v>
      </c>
      <c r="F85" s="4">
        <v>0</v>
      </c>
      <c r="H85" s="4">
        <v>0</v>
      </c>
      <c r="J85" s="4">
        <v>0</v>
      </c>
      <c r="L85" s="4">
        <v>0</v>
      </c>
      <c r="N85" s="17">
        <f>N160-L160</f>
        <v>0</v>
      </c>
      <c r="O85" s="17"/>
      <c r="P85" s="17">
        <f>P160-N160</f>
        <v>0</v>
      </c>
      <c r="Q85" s="17"/>
      <c r="R85" s="17">
        <f>R160-P160</f>
        <v>0</v>
      </c>
      <c r="S85" s="17"/>
      <c r="T85" s="17">
        <f>T160-R160</f>
        <v>0</v>
      </c>
      <c r="U85" s="17"/>
      <c r="V85" s="17">
        <f>V160-T160</f>
        <v>0</v>
      </c>
      <c r="W85" s="17"/>
      <c r="X85" s="17">
        <f>X160-V160</f>
        <v>0</v>
      </c>
      <c r="Y85" s="17"/>
      <c r="Z85" s="17">
        <f>Z160-X160</f>
        <v>0</v>
      </c>
      <c r="AA85" s="17"/>
      <c r="AB85" s="17">
        <f>AB160-Z160</f>
        <v>0</v>
      </c>
      <c r="AC85" s="17"/>
      <c r="AD85" s="17">
        <f>AD160-AB160</f>
        <v>0</v>
      </c>
    </row>
    <row r="86" spans="2:34" x14ac:dyDescent="0.3">
      <c r="B86" s="28" t="s">
        <v>114</v>
      </c>
      <c r="D86" s="4">
        <v>0</v>
      </c>
      <c r="F86" s="4">
        <v>0</v>
      </c>
      <c r="H86" s="4">
        <v>0</v>
      </c>
      <c r="J86" s="4">
        <v>0</v>
      </c>
      <c r="L86" s="4">
        <v>0</v>
      </c>
      <c r="N86" s="17">
        <f>N167-L167</f>
        <v>913.83277168131735</v>
      </c>
      <c r="O86" s="17"/>
      <c r="P86" s="17">
        <f>P167-N167</f>
        <v>910.22242587313667</v>
      </c>
      <c r="Q86" s="17"/>
      <c r="R86" s="17">
        <f>R167-P167</f>
        <v>897.07007892362799</v>
      </c>
      <c r="S86" s="17"/>
      <c r="T86" s="17">
        <f>T167-R167</f>
        <v>337.95217566937754</v>
      </c>
      <c r="U86" s="17"/>
      <c r="V86" s="17">
        <f>V167-T167</f>
        <v>422.39600919105214</v>
      </c>
      <c r="W86" s="17"/>
      <c r="X86" s="17">
        <f>X167-V167</f>
        <v>447.84948906084901</v>
      </c>
      <c r="Y86" s="17"/>
      <c r="Z86" s="17">
        <f>Z167-X167</f>
        <v>-300.07603203539111</v>
      </c>
      <c r="AA86" s="17"/>
      <c r="AB86" s="17">
        <f>AB167-Z167</f>
        <v>82.765585306627145</v>
      </c>
      <c r="AC86" s="17"/>
      <c r="AD86" s="17">
        <f>AD167-AB167</f>
        <v>108.06391900719518</v>
      </c>
    </row>
    <row r="87" spans="2:34" ht="28.8" x14ac:dyDescent="0.3">
      <c r="B87" s="28" t="s">
        <v>115</v>
      </c>
      <c r="D87" s="4">
        <v>0</v>
      </c>
      <c r="F87" s="4">
        <v>0</v>
      </c>
      <c r="H87" s="4">
        <v>0</v>
      </c>
      <c r="J87" s="4">
        <v>0</v>
      </c>
      <c r="L87" s="4">
        <v>0</v>
      </c>
      <c r="N87" s="17">
        <f>N168-L168</f>
        <v>0</v>
      </c>
      <c r="O87" s="17"/>
      <c r="P87" s="17">
        <f>P168-N168</f>
        <v>0</v>
      </c>
      <c r="Q87" s="17"/>
      <c r="R87" s="17">
        <f>R168-P168</f>
        <v>0</v>
      </c>
      <c r="S87" s="17"/>
      <c r="T87" s="17">
        <f>T168-R168</f>
        <v>0</v>
      </c>
      <c r="U87" s="17"/>
      <c r="V87" s="17">
        <f>V168-T168</f>
        <v>0</v>
      </c>
      <c r="W87" s="17"/>
      <c r="X87" s="17">
        <f>X168-V168</f>
        <v>0</v>
      </c>
      <c r="Y87" s="17"/>
      <c r="Z87" s="17">
        <f>Z168-X168</f>
        <v>0</v>
      </c>
      <c r="AA87" s="17"/>
      <c r="AB87" s="17">
        <f>AB168-Z168</f>
        <v>0</v>
      </c>
      <c r="AC87" s="17"/>
      <c r="AD87" s="17">
        <f>AD168-AB168</f>
        <v>0</v>
      </c>
    </row>
    <row r="88" spans="2:34" ht="15" thickBot="1" x14ac:dyDescent="0.35">
      <c r="B88" s="19" t="s">
        <v>63</v>
      </c>
      <c r="C88" s="5"/>
      <c r="D88" s="5">
        <v>449</v>
      </c>
      <c r="E88" s="5"/>
      <c r="F88" s="5">
        <v>26</v>
      </c>
      <c r="G88" s="5"/>
      <c r="H88" s="5">
        <v>2846</v>
      </c>
      <c r="I88" s="5"/>
      <c r="J88" s="5">
        <v>3474</v>
      </c>
      <c r="K88" s="5"/>
      <c r="L88" s="5">
        <v>4602</v>
      </c>
      <c r="M88" s="5"/>
      <c r="N88" s="20">
        <f>N165-L165+N158-L158</f>
        <v>-2923.5454700497003</v>
      </c>
      <c r="O88" s="20"/>
      <c r="P88" s="20">
        <f>P165-N165+P158-N158</f>
        <v>4535.3107578734052</v>
      </c>
      <c r="Q88" s="20"/>
      <c r="R88" s="20">
        <f>R165-P165+R158-P158</f>
        <v>4469.7773465710325</v>
      </c>
      <c r="S88" s="20"/>
      <c r="T88" s="20">
        <f>T165-R165+T158-R158</f>
        <v>1683.8940619264358</v>
      </c>
      <c r="U88" s="20"/>
      <c r="V88" s="20">
        <f>V165-T165+V158-T158</f>
        <v>2104.6472929178017</v>
      </c>
      <c r="W88" s="20"/>
      <c r="X88" s="20">
        <f>X165-V165+X158-V158</f>
        <v>2231.4728223680031</v>
      </c>
      <c r="Y88" s="20"/>
      <c r="Z88" s="20">
        <f>Z165-X165+Z158-X158</f>
        <v>-1495.1708698723687</v>
      </c>
      <c r="AA88" s="20"/>
      <c r="AB88" s="20">
        <f>AB165-Z165+AB158-Z158</f>
        <v>412.39112413953262</v>
      </c>
      <c r="AC88" s="20"/>
      <c r="AD88" s="20">
        <f>AD165-AB165+AD158-AB158</f>
        <v>538.44361606577513</v>
      </c>
    </row>
    <row r="89" spans="2:34" s="6" customFormat="1" ht="28.8" x14ac:dyDescent="0.3">
      <c r="B89" s="15" t="s">
        <v>64</v>
      </c>
      <c r="D89" s="6">
        <f>SUM(D56:D88)</f>
        <v>39643</v>
      </c>
      <c r="F89" s="6">
        <f>SUM(F56:F88)</f>
        <v>96968</v>
      </c>
      <c r="H89" s="6">
        <f>SUM(H56:H88)</f>
        <v>112318</v>
      </c>
      <c r="J89" s="6">
        <f>SUM(J56:J88)</f>
        <v>44459</v>
      </c>
      <c r="L89" s="6">
        <f>SUM(L56:L88)</f>
        <v>53487</v>
      </c>
      <c r="N89" s="21">
        <f>SUM(N56:N88)</f>
        <v>132959.07255923547</v>
      </c>
      <c r="O89" s="21"/>
      <c r="P89" s="21">
        <f>SUM(P56:P88)</f>
        <v>130281.13917499845</v>
      </c>
      <c r="Q89" s="21"/>
      <c r="R89" s="21">
        <f>SUM(R56:R88)</f>
        <v>174365.84526308527</v>
      </c>
      <c r="S89" s="21"/>
      <c r="T89" s="21">
        <f>SUM(T56:T88)</f>
        <v>221122.16480456083</v>
      </c>
      <c r="U89" s="21"/>
      <c r="V89" s="21">
        <f>SUM(V56:V88)</f>
        <v>234433.96047002912</v>
      </c>
      <c r="W89" s="21"/>
      <c r="X89" s="21">
        <f>SUM(X56:X88)</f>
        <v>228060.224816128</v>
      </c>
      <c r="Y89" s="21"/>
      <c r="Z89" s="21">
        <f>SUM(Z56:Z88)</f>
        <v>242276.84937145893</v>
      </c>
      <c r="AA89" s="21"/>
      <c r="AB89" s="21">
        <f>SUM(AB56:AB88)</f>
        <v>217291.62965629337</v>
      </c>
      <c r="AC89" s="21"/>
      <c r="AD89" s="21">
        <f>SUM(AD56:AD88)</f>
        <v>217570.0659838579</v>
      </c>
      <c r="AH89" s="15"/>
    </row>
    <row r="90" spans="2:34" x14ac:dyDescent="0.3"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</row>
    <row r="91" spans="2:34" s="6" customFormat="1" ht="15" thickBot="1" x14ac:dyDescent="0.35">
      <c r="B91" s="14" t="s">
        <v>65</v>
      </c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H91" s="15"/>
    </row>
    <row r="92" spans="2:34" x14ac:dyDescent="0.3">
      <c r="B92" s="16" t="s">
        <v>66</v>
      </c>
      <c r="D92" s="4">
        <v>-53845</v>
      </c>
      <c r="F92" s="4">
        <v>-42021</v>
      </c>
      <c r="H92" s="4">
        <v>-30673</v>
      </c>
      <c r="J92" s="4">
        <v>-44812</v>
      </c>
      <c r="L92" s="4">
        <v>-76257</v>
      </c>
      <c r="N92" s="17">
        <f>-(N139-L139+'IS Modelling'!N108)</f>
        <v>-55963.329999999958</v>
      </c>
      <c r="O92" s="17"/>
      <c r="P92" s="17">
        <f>-(P139-N139+'IS Modelling'!P108)</f>
        <v>-68575.184099999969</v>
      </c>
      <c r="Q92" s="17"/>
      <c r="R92" s="17">
        <f>-(R139-P139+'IS Modelling'!R108)</f>
        <v>-76906.906880000024</v>
      </c>
      <c r="S92" s="17"/>
      <c r="T92" s="17">
        <f>-(T139-R139+'IS Modelling'!T108)</f>
        <v>-72551.656981999928</v>
      </c>
      <c r="U92" s="17"/>
      <c r="V92" s="17">
        <f>-(V139-T139+'IS Modelling'!V108)</f>
        <v>-67820.237958000071</v>
      </c>
      <c r="W92" s="17"/>
      <c r="X92" s="17">
        <f>-(X139-V139+'IS Modelling'!X108)</f>
        <v>-61493.992324000072</v>
      </c>
      <c r="Y92" s="17"/>
      <c r="Z92" s="17">
        <f>-(Z139-X139+'IS Modelling'!Z108)</f>
        <v>-58159.12946202499</v>
      </c>
      <c r="AA92" s="17"/>
      <c r="AB92" s="17">
        <f>-(AB139-Z139+'IS Modelling'!AB108)</f>
        <v>-59078.935935126297</v>
      </c>
      <c r="AC92" s="17"/>
      <c r="AD92" s="17">
        <f>-(AD139-AB139+'IS Modelling'!AD108)</f>
        <v>-60279.892731882661</v>
      </c>
    </row>
    <row r="93" spans="2:34" ht="28.8" x14ac:dyDescent="0.3">
      <c r="B93" s="16" t="s">
        <v>67</v>
      </c>
      <c r="D93" s="4">
        <v>0</v>
      </c>
      <c r="F93" s="4">
        <v>-25873</v>
      </c>
      <c r="H93" s="4">
        <v>-179379</v>
      </c>
      <c r="J93" s="4">
        <v>-650</v>
      </c>
      <c r="L93" s="4">
        <v>0</v>
      </c>
      <c r="N93" s="17">
        <f>L141-N141-'IS Modelling'!N116</f>
        <v>0</v>
      </c>
      <c r="O93" s="17"/>
      <c r="P93" s="17">
        <f>N141-P141-'IS Modelling'!P116</f>
        <v>0</v>
      </c>
      <c r="Q93" s="17"/>
      <c r="R93" s="17">
        <f>P141-R141-'IS Modelling'!R116</f>
        <v>0</v>
      </c>
      <c r="S93" s="17"/>
      <c r="T93" s="17">
        <f>R141-T141-'IS Modelling'!T116</f>
        <v>0</v>
      </c>
      <c r="U93" s="17"/>
      <c r="V93" s="17">
        <f>T141-V141-'IS Modelling'!V116</f>
        <v>0</v>
      </c>
      <c r="W93" s="17"/>
      <c r="X93" s="17">
        <f>V141-X141-'IS Modelling'!X116</f>
        <v>0</v>
      </c>
      <c r="Y93" s="17"/>
      <c r="Z93" s="17">
        <f>X141-Z141-'IS Modelling'!Z116</f>
        <v>0</v>
      </c>
      <c r="AA93" s="17"/>
      <c r="AB93" s="17">
        <f>Z141-AB141-'IS Modelling'!AB116</f>
        <v>0</v>
      </c>
      <c r="AC93" s="17"/>
      <c r="AD93" s="17">
        <f>AB141-AD141-'IS Modelling'!AD116</f>
        <v>0</v>
      </c>
    </row>
    <row r="94" spans="2:34" x14ac:dyDescent="0.3">
      <c r="B94" s="16" t="s">
        <v>156</v>
      </c>
      <c r="D94" s="4">
        <v>11765</v>
      </c>
      <c r="F94" s="4">
        <v>0</v>
      </c>
      <c r="H94" s="4">
        <v>0</v>
      </c>
      <c r="J94" s="4">
        <v>0</v>
      </c>
      <c r="L94" s="4">
        <v>0</v>
      </c>
      <c r="N94" s="17">
        <v>0</v>
      </c>
      <c r="O94" s="17"/>
      <c r="P94" s="17">
        <v>0</v>
      </c>
      <c r="Q94" s="17"/>
      <c r="R94" s="17">
        <v>0</v>
      </c>
      <c r="S94" s="17"/>
      <c r="T94" s="17">
        <v>0</v>
      </c>
      <c r="U94" s="17"/>
      <c r="V94" s="17">
        <v>0</v>
      </c>
      <c r="W94" s="17"/>
      <c r="X94" s="17">
        <v>0</v>
      </c>
      <c r="Y94" s="17"/>
      <c r="Z94" s="17">
        <v>0</v>
      </c>
      <c r="AA94" s="17"/>
      <c r="AB94" s="17">
        <v>0</v>
      </c>
      <c r="AC94" s="17"/>
      <c r="AD94" s="17">
        <v>0</v>
      </c>
    </row>
    <row r="95" spans="2:34" ht="28.8" x14ac:dyDescent="0.3">
      <c r="B95" s="16" t="s">
        <v>157</v>
      </c>
      <c r="D95" s="4">
        <v>1966</v>
      </c>
      <c r="F95" s="4">
        <v>0</v>
      </c>
      <c r="H95" s="4">
        <v>0</v>
      </c>
      <c r="J95" s="4">
        <v>0</v>
      </c>
      <c r="L95" s="4">
        <v>0</v>
      </c>
      <c r="N95" s="17">
        <v>0</v>
      </c>
      <c r="O95" s="17"/>
      <c r="P95" s="17">
        <v>0</v>
      </c>
      <c r="Q95" s="17"/>
      <c r="R95" s="17">
        <v>0</v>
      </c>
      <c r="S95" s="17"/>
      <c r="T95" s="17">
        <v>0</v>
      </c>
      <c r="U95" s="17"/>
      <c r="V95" s="17">
        <v>0</v>
      </c>
      <c r="W95" s="17"/>
      <c r="X95" s="17">
        <v>0</v>
      </c>
      <c r="Y95" s="17"/>
      <c r="Z95" s="17">
        <v>0</v>
      </c>
      <c r="AA95" s="17"/>
      <c r="AB95" s="17">
        <v>0</v>
      </c>
      <c r="AC95" s="17"/>
      <c r="AD95" s="17">
        <v>0</v>
      </c>
    </row>
    <row r="96" spans="2:34" ht="15" thickBot="1" x14ac:dyDescent="0.35">
      <c r="B96" s="19" t="s">
        <v>158</v>
      </c>
      <c r="C96" s="5"/>
      <c r="D96" s="5">
        <v>0</v>
      </c>
      <c r="E96" s="5"/>
      <c r="F96" s="5">
        <v>0</v>
      </c>
      <c r="G96" s="5"/>
      <c r="H96" s="5">
        <v>0</v>
      </c>
      <c r="I96" s="5"/>
      <c r="J96" s="5">
        <v>0</v>
      </c>
      <c r="K96" s="5"/>
      <c r="L96" s="5">
        <v>0</v>
      </c>
      <c r="M96" s="5"/>
      <c r="N96" s="20">
        <v>0</v>
      </c>
      <c r="O96" s="20"/>
      <c r="P96" s="20">
        <v>0</v>
      </c>
      <c r="Q96" s="20"/>
      <c r="R96" s="20">
        <v>0</v>
      </c>
      <c r="S96" s="20"/>
      <c r="T96" s="20">
        <v>0</v>
      </c>
      <c r="U96" s="20"/>
      <c r="V96" s="20">
        <v>0</v>
      </c>
      <c r="W96" s="20"/>
      <c r="X96" s="20">
        <v>0</v>
      </c>
      <c r="Y96" s="20"/>
      <c r="Z96" s="20">
        <v>0</v>
      </c>
      <c r="AA96" s="20"/>
      <c r="AB96" s="20">
        <v>0</v>
      </c>
      <c r="AC96" s="20"/>
      <c r="AD96" s="20">
        <v>0</v>
      </c>
    </row>
    <row r="97" spans="2:34" s="6" customFormat="1" ht="28.8" x14ac:dyDescent="0.3">
      <c r="B97" s="15" t="s">
        <v>68</v>
      </c>
      <c r="D97" s="6">
        <f>SUM(D92:D96)</f>
        <v>-40114</v>
      </c>
      <c r="F97" s="6">
        <f>SUM(F92:F96)</f>
        <v>-67894</v>
      </c>
      <c r="H97" s="6">
        <f>SUM(H92:H96)</f>
        <v>-210052</v>
      </c>
      <c r="J97" s="6">
        <f>SUM(J92:J96)</f>
        <v>-45462</v>
      </c>
      <c r="L97" s="6">
        <f>SUM(L92:L96)</f>
        <v>-76257</v>
      </c>
      <c r="N97" s="21">
        <f>SUM(N92:N96)</f>
        <v>-55963.329999999958</v>
      </c>
      <c r="O97" s="21"/>
      <c r="P97" s="21">
        <f>SUM(P92:P96)</f>
        <v>-68575.184099999969</v>
      </c>
      <c r="Q97" s="21"/>
      <c r="R97" s="21">
        <f>SUM(R92:R96)</f>
        <v>-76906.906880000024</v>
      </c>
      <c r="S97" s="21"/>
      <c r="T97" s="21">
        <f>SUM(T92:T96)</f>
        <v>-72551.656981999928</v>
      </c>
      <c r="U97" s="21"/>
      <c r="V97" s="21">
        <f>SUM(V92:V96)</f>
        <v>-67820.237958000071</v>
      </c>
      <c r="W97" s="21"/>
      <c r="X97" s="21">
        <f>SUM(X92:X96)</f>
        <v>-61493.992324000072</v>
      </c>
      <c r="Y97" s="21"/>
      <c r="Z97" s="21">
        <f>SUM(Z92:Z96)</f>
        <v>-58159.12946202499</v>
      </c>
      <c r="AA97" s="21"/>
      <c r="AB97" s="21">
        <f>SUM(AB92:AB96)</f>
        <v>-59078.935935126297</v>
      </c>
      <c r="AC97" s="21"/>
      <c r="AD97" s="21">
        <f>SUM(AD92:AD96)</f>
        <v>-60279.892731882661</v>
      </c>
      <c r="AH97" s="15"/>
    </row>
    <row r="98" spans="2:34" x14ac:dyDescent="0.3"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</row>
    <row r="99" spans="2:34" s="6" customFormat="1" ht="15" thickBot="1" x14ac:dyDescent="0.35">
      <c r="B99" s="14" t="s">
        <v>69</v>
      </c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H99" s="15"/>
    </row>
    <row r="100" spans="2:34" ht="28.8" x14ac:dyDescent="0.3">
      <c r="B100" s="16" t="s">
        <v>70</v>
      </c>
      <c r="D100" s="4">
        <v>0</v>
      </c>
      <c r="F100" s="4">
        <v>0</v>
      </c>
      <c r="H100" s="4">
        <v>241588</v>
      </c>
      <c r="J100" s="4">
        <v>0</v>
      </c>
      <c r="L100" s="4">
        <v>0</v>
      </c>
      <c r="N100" s="17">
        <v>0</v>
      </c>
      <c r="O100" s="17"/>
      <c r="P100" s="17">
        <v>0</v>
      </c>
      <c r="Q100" s="17"/>
      <c r="R100" s="17">
        <v>0</v>
      </c>
      <c r="S100" s="17"/>
      <c r="T100" s="17">
        <v>0</v>
      </c>
      <c r="U100" s="17"/>
      <c r="V100" s="17">
        <v>0</v>
      </c>
      <c r="W100" s="17"/>
      <c r="X100" s="17">
        <v>0</v>
      </c>
      <c r="Y100" s="17"/>
      <c r="Z100" s="17">
        <v>0</v>
      </c>
      <c r="AA100" s="17"/>
      <c r="AB100" s="17">
        <v>0</v>
      </c>
      <c r="AC100" s="17"/>
      <c r="AD100" s="17">
        <v>0</v>
      </c>
    </row>
    <row r="101" spans="2:34" ht="28.8" x14ac:dyDescent="0.3">
      <c r="B101" s="16" t="s">
        <v>71</v>
      </c>
      <c r="D101" s="4">
        <v>13547</v>
      </c>
      <c r="F101" s="4">
        <v>62000</v>
      </c>
      <c r="H101" s="4">
        <v>1000</v>
      </c>
      <c r="J101" s="4">
        <v>2000</v>
      </c>
      <c r="L101" s="4">
        <v>0</v>
      </c>
      <c r="N101" s="17">
        <v>0</v>
      </c>
      <c r="O101" s="17"/>
      <c r="P101" s="17">
        <v>0</v>
      </c>
      <c r="Q101" s="17"/>
      <c r="R101" s="17">
        <v>0</v>
      </c>
      <c r="S101" s="17"/>
      <c r="T101" s="17">
        <v>0</v>
      </c>
      <c r="U101" s="17"/>
      <c r="V101" s="17">
        <v>0</v>
      </c>
      <c r="W101" s="17"/>
      <c r="X101" s="17">
        <v>0</v>
      </c>
      <c r="Y101" s="17"/>
      <c r="Z101" s="17">
        <v>0</v>
      </c>
      <c r="AA101" s="17"/>
      <c r="AB101" s="17">
        <v>0</v>
      </c>
      <c r="AC101" s="17"/>
      <c r="AD101" s="17">
        <v>0</v>
      </c>
    </row>
    <row r="102" spans="2:34" ht="43.2" x14ac:dyDescent="0.3">
      <c r="B102" s="16" t="s">
        <v>72</v>
      </c>
      <c r="D102" s="4">
        <v>761</v>
      </c>
      <c r="F102" s="4">
        <v>6848</v>
      </c>
      <c r="H102" s="4">
        <v>14078</v>
      </c>
      <c r="J102" s="4">
        <v>25961</v>
      </c>
      <c r="L102" s="4">
        <v>17125</v>
      </c>
      <c r="N102" s="17">
        <v>0</v>
      </c>
      <c r="O102" s="17"/>
      <c r="P102" s="17">
        <v>0</v>
      </c>
      <c r="Q102" s="17"/>
      <c r="R102" s="17">
        <v>0</v>
      </c>
      <c r="S102" s="17"/>
      <c r="T102" s="17">
        <v>0</v>
      </c>
      <c r="U102" s="17"/>
      <c r="V102" s="17">
        <v>0</v>
      </c>
      <c r="W102" s="17"/>
      <c r="X102" s="17">
        <v>0</v>
      </c>
      <c r="Y102" s="17"/>
      <c r="Z102" s="17">
        <v>0</v>
      </c>
      <c r="AA102" s="17"/>
      <c r="AB102" s="17">
        <v>0</v>
      </c>
      <c r="AC102" s="17"/>
      <c r="AD102" s="17">
        <v>0</v>
      </c>
    </row>
    <row r="103" spans="2:34" ht="28.8" x14ac:dyDescent="0.3">
      <c r="B103" s="16" t="s">
        <v>73</v>
      </c>
      <c r="D103" s="4">
        <v>1588</v>
      </c>
      <c r="F103" s="4">
        <v>3099</v>
      </c>
      <c r="H103" s="4">
        <v>5987</v>
      </c>
      <c r="J103" s="4">
        <v>11281</v>
      </c>
      <c r="L103" s="4">
        <v>10619</v>
      </c>
      <c r="N103" s="17">
        <v>0</v>
      </c>
      <c r="O103" s="17"/>
      <c r="P103" s="17">
        <v>0</v>
      </c>
      <c r="Q103" s="17"/>
      <c r="R103" s="17">
        <v>0</v>
      </c>
      <c r="S103" s="17"/>
      <c r="T103" s="17">
        <v>0</v>
      </c>
      <c r="U103" s="17"/>
      <c r="V103" s="17">
        <v>0</v>
      </c>
      <c r="W103" s="17"/>
      <c r="X103" s="17">
        <v>0</v>
      </c>
      <c r="Y103" s="17"/>
      <c r="Z103" s="17">
        <v>0</v>
      </c>
      <c r="AA103" s="17"/>
      <c r="AB103" s="17">
        <v>0</v>
      </c>
      <c r="AC103" s="17"/>
      <c r="AD103" s="17">
        <v>0</v>
      </c>
    </row>
    <row r="104" spans="2:34" ht="57.6" x14ac:dyDescent="0.3">
      <c r="B104" s="16" t="s">
        <v>302</v>
      </c>
      <c r="D104" s="4">
        <v>-10227</v>
      </c>
      <c r="F104" s="4">
        <v>-62774</v>
      </c>
      <c r="H104" s="4">
        <v>-62000</v>
      </c>
      <c r="J104" s="4">
        <v>0</v>
      </c>
      <c r="L104" s="4">
        <v>0</v>
      </c>
      <c r="N104" s="17">
        <f>N159-L159+N164-L164</f>
        <v>0</v>
      </c>
      <c r="O104" s="17"/>
      <c r="P104" s="17">
        <f>P159-N159+P164-N164</f>
        <v>0</v>
      </c>
      <c r="Q104" s="17"/>
      <c r="R104" s="17">
        <f>R159-P159+R164-P164</f>
        <v>0</v>
      </c>
      <c r="S104" s="17"/>
      <c r="T104" s="17">
        <f>T159-R159+T164-R164</f>
        <v>0</v>
      </c>
      <c r="U104" s="17"/>
      <c r="V104" s="17">
        <f>V159-T159+V164-T164</f>
        <v>151906</v>
      </c>
      <c r="W104" s="17"/>
      <c r="X104" s="17">
        <f>X159-V159+X164-V164</f>
        <v>0</v>
      </c>
      <c r="Y104" s="17"/>
      <c r="Z104" s="17">
        <f>Z159-X159+Z164-X164</f>
        <v>0</v>
      </c>
      <c r="AA104" s="17"/>
      <c r="AB104" s="17">
        <f>AB159-Z159+AB164-Z164</f>
        <v>0</v>
      </c>
      <c r="AC104" s="17"/>
      <c r="AD104" s="17">
        <f>AD159-AB159+AD164-AB164</f>
        <v>0</v>
      </c>
    </row>
    <row r="105" spans="2:34" x14ac:dyDescent="0.3">
      <c r="B105" s="16" t="s">
        <v>106</v>
      </c>
      <c r="D105" s="4">
        <v>0</v>
      </c>
      <c r="F105" s="4">
        <v>0</v>
      </c>
      <c r="H105" s="4">
        <v>0</v>
      </c>
      <c r="J105" s="4">
        <v>0</v>
      </c>
      <c r="L105" s="4">
        <v>0</v>
      </c>
      <c r="N105" s="17">
        <f>N153-L153</f>
        <v>-20000</v>
      </c>
      <c r="O105" s="17"/>
      <c r="P105" s="17">
        <f>P153-N153</f>
        <v>0</v>
      </c>
      <c r="Q105" s="17"/>
      <c r="R105" s="17">
        <f>R153-P153</f>
        <v>0</v>
      </c>
      <c r="S105" s="17"/>
      <c r="T105" s="17">
        <f>T153-R153</f>
        <v>0</v>
      </c>
      <c r="U105" s="17"/>
      <c r="V105" s="17">
        <f>V153-T153</f>
        <v>0</v>
      </c>
      <c r="W105" s="17"/>
      <c r="X105" s="17">
        <f>X153-V153</f>
        <v>0</v>
      </c>
      <c r="Y105" s="17"/>
      <c r="Z105" s="17">
        <f>Z153-X153</f>
        <v>0</v>
      </c>
      <c r="AA105" s="17"/>
      <c r="AB105" s="17">
        <f>AB153-Z153</f>
        <v>0</v>
      </c>
      <c r="AC105" s="17"/>
      <c r="AD105" s="17">
        <f>AD153-AB153</f>
        <v>0</v>
      </c>
    </row>
    <row r="106" spans="2:34" x14ac:dyDescent="0.3">
      <c r="B106" s="16" t="s">
        <v>74</v>
      </c>
      <c r="D106" s="4">
        <v>0</v>
      </c>
      <c r="F106" s="4">
        <v>0</v>
      </c>
      <c r="H106" s="4">
        <v>0</v>
      </c>
      <c r="J106" s="4">
        <v>0</v>
      </c>
      <c r="L106" s="4">
        <v>-45000</v>
      </c>
      <c r="N106" s="17">
        <v>0</v>
      </c>
      <c r="O106" s="17"/>
      <c r="P106" s="17">
        <v>0</v>
      </c>
      <c r="Q106" s="17"/>
      <c r="R106" s="17">
        <v>0</v>
      </c>
      <c r="S106" s="17"/>
      <c r="T106" s="17">
        <v>0</v>
      </c>
      <c r="U106" s="17"/>
      <c r="V106" s="17">
        <v>0</v>
      </c>
      <c r="W106" s="17"/>
      <c r="X106" s="17">
        <v>0</v>
      </c>
      <c r="Y106" s="17"/>
      <c r="Z106" s="17">
        <v>0</v>
      </c>
      <c r="AA106" s="17"/>
      <c r="AB106" s="17">
        <v>0</v>
      </c>
      <c r="AC106" s="17"/>
      <c r="AD106" s="17">
        <v>0</v>
      </c>
    </row>
    <row r="107" spans="2:34" ht="28.8" x14ac:dyDescent="0.3">
      <c r="B107" s="16" t="s">
        <v>75</v>
      </c>
      <c r="D107" s="4">
        <v>-1748</v>
      </c>
      <c r="F107" s="4">
        <v>-348</v>
      </c>
      <c r="H107" s="4">
        <v>-1579</v>
      </c>
      <c r="J107" s="4">
        <v>-5693</v>
      </c>
      <c r="L107" s="4">
        <v>-1385</v>
      </c>
      <c r="N107" s="17">
        <f>N154-L154+N163-L163</f>
        <v>9177.2514964212569</v>
      </c>
      <c r="O107" s="17"/>
      <c r="P107" s="17">
        <f>P154-N154+P163-N163</f>
        <v>8084.1837607291382</v>
      </c>
      <c r="Q107" s="17"/>
      <c r="R107" s="17">
        <f>R154-P154+R163-P163</f>
        <v>7967.3705658414219</v>
      </c>
      <c r="S107" s="17"/>
      <c r="T107" s="17">
        <f>T154-R154+T163-R163</f>
        <v>3001.5383194153947</v>
      </c>
      <c r="U107" s="17"/>
      <c r="V107" s="17">
        <f>V154-T154+V163-T163</f>
        <v>3751.5302425377013</v>
      </c>
      <c r="W107" s="17"/>
      <c r="X107" s="17">
        <f>X154-V154+X163-V163</f>
        <v>3977.5965344334109</v>
      </c>
      <c r="Y107" s="17"/>
      <c r="Z107" s="17">
        <f>Z154-X154+Z163-X163</f>
        <v>-2665.1395485422327</v>
      </c>
      <c r="AA107" s="17"/>
      <c r="AB107" s="17">
        <f>AB154-Z154+AB163-Z163</f>
        <v>735.08648179179727</v>
      </c>
      <c r="AC107" s="17"/>
      <c r="AD107" s="17">
        <f>AD154-AB154+AD163-AB163</f>
        <v>959.77483560757537</v>
      </c>
    </row>
    <row r="108" spans="2:34" x14ac:dyDescent="0.3">
      <c r="B108" s="16" t="s">
        <v>76</v>
      </c>
      <c r="D108" s="4">
        <v>-5906</v>
      </c>
      <c r="F108" s="4">
        <v>-213</v>
      </c>
      <c r="H108" s="4">
        <v>-200</v>
      </c>
      <c r="J108" s="4">
        <v>-100</v>
      </c>
      <c r="L108" s="4">
        <v>0</v>
      </c>
      <c r="N108" s="17">
        <f>L174-N174</f>
        <v>0</v>
      </c>
      <c r="O108" s="17"/>
      <c r="P108" s="17">
        <f>N174-P174</f>
        <v>0</v>
      </c>
      <c r="Q108" s="17"/>
      <c r="R108" s="17">
        <f>P174-R174</f>
        <v>0</v>
      </c>
      <c r="S108" s="17"/>
      <c r="T108" s="17">
        <f>R174-T174</f>
        <v>0</v>
      </c>
      <c r="U108" s="17"/>
      <c r="V108" s="17">
        <f>T174-V174</f>
        <v>0</v>
      </c>
      <c r="W108" s="17"/>
      <c r="X108" s="17">
        <f>V174-X174</f>
        <v>0</v>
      </c>
      <c r="Y108" s="17"/>
      <c r="Z108" s="17">
        <f>X174-Z174</f>
        <v>0</v>
      </c>
      <c r="AA108" s="17"/>
      <c r="AB108" s="17">
        <f>Z174-AB174</f>
        <v>0</v>
      </c>
      <c r="AC108" s="17"/>
      <c r="AD108" s="17">
        <f>AB174-AD174</f>
        <v>0</v>
      </c>
    </row>
    <row r="109" spans="2:34" x14ac:dyDescent="0.3">
      <c r="B109" s="16" t="s">
        <v>224</v>
      </c>
      <c r="D109" s="4">
        <f>-D183</f>
        <v>0</v>
      </c>
      <c r="F109" s="4">
        <f>-F183</f>
        <v>0</v>
      </c>
      <c r="H109" s="4">
        <f>-H183</f>
        <v>0</v>
      </c>
      <c r="J109" s="4">
        <f>-J183</f>
        <v>0</v>
      </c>
      <c r="L109" s="4">
        <f>-L183</f>
        <v>0</v>
      </c>
      <c r="N109" s="4">
        <f>-N183</f>
        <v>0</v>
      </c>
      <c r="O109" s="17"/>
      <c r="P109" s="4">
        <f>-P183</f>
        <v>-82326.797945382466</v>
      </c>
      <c r="Q109" s="17"/>
      <c r="R109" s="4">
        <f>-R183</f>
        <v>-106554.74416293229</v>
      </c>
      <c r="S109" s="17"/>
      <c r="T109" s="4">
        <f>-T183</f>
        <v>-112199.7404956836</v>
      </c>
      <c r="U109" s="17"/>
      <c r="V109" s="4">
        <f>-V183</f>
        <v>-112022.2066694767</v>
      </c>
      <c r="W109" s="17"/>
      <c r="X109" s="4">
        <f>-X183</f>
        <v>-116284.98794901965</v>
      </c>
      <c r="Y109" s="17"/>
      <c r="Z109" s="4">
        <f>-Z183</f>
        <v>-115454.98214850578</v>
      </c>
      <c r="AA109" s="17"/>
      <c r="AB109" s="4">
        <f>-AB183</f>
        <v>-113940.09073277196</v>
      </c>
      <c r="AC109" s="17"/>
      <c r="AD109" s="4">
        <f>-AD183</f>
        <v>-113210.0143946664</v>
      </c>
    </row>
    <row r="110" spans="2:34" ht="15" thickBot="1" x14ac:dyDescent="0.35">
      <c r="B110" s="19" t="s">
        <v>159</v>
      </c>
      <c r="C110" s="5"/>
      <c r="D110" s="5">
        <v>220</v>
      </c>
      <c r="E110" s="5"/>
      <c r="F110" s="5">
        <v>0</v>
      </c>
      <c r="G110" s="5"/>
      <c r="H110" s="5">
        <v>0</v>
      </c>
      <c r="I110" s="5"/>
      <c r="J110" s="5">
        <v>0</v>
      </c>
      <c r="K110" s="5"/>
      <c r="L110" s="5">
        <v>0</v>
      </c>
      <c r="M110" s="5"/>
      <c r="N110" s="20">
        <v>0</v>
      </c>
      <c r="O110" s="20"/>
      <c r="P110" s="20">
        <v>0</v>
      </c>
      <c r="Q110" s="20"/>
      <c r="R110" s="20">
        <v>0</v>
      </c>
      <c r="S110" s="20"/>
      <c r="T110" s="20">
        <v>0</v>
      </c>
      <c r="U110" s="20"/>
      <c r="V110" s="20">
        <v>0</v>
      </c>
      <c r="W110" s="20"/>
      <c r="X110" s="20">
        <v>0</v>
      </c>
      <c r="Y110" s="20"/>
      <c r="Z110" s="20">
        <v>0</v>
      </c>
      <c r="AA110" s="20"/>
      <c r="AB110" s="20">
        <v>0</v>
      </c>
      <c r="AC110" s="20"/>
      <c r="AD110" s="20">
        <v>0</v>
      </c>
    </row>
    <row r="111" spans="2:34" s="6" customFormat="1" ht="28.8" x14ac:dyDescent="0.3">
      <c r="B111" s="15" t="s">
        <v>77</v>
      </c>
      <c r="D111" s="6">
        <f>SUM(D100:D110)</f>
        <v>-1765</v>
      </c>
      <c r="F111" s="6">
        <f>SUM(F100:F110)</f>
        <v>8612</v>
      </c>
      <c r="H111" s="6">
        <f>SUM(H100:H110)</f>
        <v>198874</v>
      </c>
      <c r="J111" s="6">
        <f>SUM(J100:J110)</f>
        <v>33449</v>
      </c>
      <c r="L111" s="6">
        <f>SUM(L100:L110)</f>
        <v>-18641</v>
      </c>
      <c r="N111" s="21">
        <f>SUM(N100:N110)</f>
        <v>-10822.748503578743</v>
      </c>
      <c r="O111" s="21"/>
      <c r="P111" s="21">
        <f>SUM(P100:P110)</f>
        <v>-74242.614184653328</v>
      </c>
      <c r="Q111" s="21"/>
      <c r="R111" s="21">
        <f>SUM(R100:R110)</f>
        <v>-98587.37359709086</v>
      </c>
      <c r="S111" s="21"/>
      <c r="T111" s="21">
        <f>SUM(T100:T110)</f>
        <v>-109198.2021762682</v>
      </c>
      <c r="U111" s="21"/>
      <c r="V111" s="21">
        <f>SUM(V100:V110)</f>
        <v>43635.323573061003</v>
      </c>
      <c r="W111" s="21"/>
      <c r="X111" s="21">
        <f>SUM(X100:X110)</f>
        <v>-112307.39141458624</v>
      </c>
      <c r="Y111" s="21"/>
      <c r="Z111" s="21">
        <f>SUM(Z100:Z110)</f>
        <v>-118120.12169704802</v>
      </c>
      <c r="AA111" s="21"/>
      <c r="AB111" s="21">
        <f>SUM(AB100:AB110)</f>
        <v>-113205.00425098016</v>
      </c>
      <c r="AC111" s="21"/>
      <c r="AD111" s="21">
        <f>SUM(AD100:AD110)</f>
        <v>-112250.23955905883</v>
      </c>
      <c r="AH111" s="15"/>
    </row>
    <row r="112" spans="2:34" x14ac:dyDescent="0.3"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</row>
    <row r="113" spans="2:34" ht="43.2" x14ac:dyDescent="0.3">
      <c r="B113" s="16" t="s">
        <v>78</v>
      </c>
      <c r="D113" s="4">
        <v>1</v>
      </c>
      <c r="F113" s="4">
        <v>-14</v>
      </c>
      <c r="H113" s="4">
        <v>21</v>
      </c>
      <c r="J113" s="4">
        <v>-150</v>
      </c>
      <c r="L113" s="4">
        <v>129</v>
      </c>
      <c r="N113" s="17">
        <v>0</v>
      </c>
      <c r="O113" s="17"/>
      <c r="P113" s="17">
        <v>0</v>
      </c>
      <c r="Q113" s="17"/>
      <c r="R113" s="17">
        <v>0</v>
      </c>
      <c r="S113" s="17"/>
      <c r="T113" s="17">
        <v>0</v>
      </c>
      <c r="U113" s="17"/>
      <c r="V113" s="17">
        <v>0</v>
      </c>
      <c r="W113" s="17"/>
      <c r="X113" s="17">
        <v>0</v>
      </c>
      <c r="Y113" s="17"/>
      <c r="Z113" s="17">
        <v>0</v>
      </c>
      <c r="AA113" s="17"/>
      <c r="AB113" s="17">
        <v>0</v>
      </c>
      <c r="AC113" s="17"/>
      <c r="AD113" s="17">
        <v>0</v>
      </c>
    </row>
    <row r="114" spans="2:34" x14ac:dyDescent="0.3"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</row>
    <row r="115" spans="2:34" s="6" customFormat="1" ht="28.8" x14ac:dyDescent="0.3">
      <c r="B115" s="15" t="s">
        <v>79</v>
      </c>
      <c r="D115" s="6">
        <f>SUM(D89,D97,D111,D113)</f>
        <v>-2235</v>
      </c>
      <c r="F115" s="6">
        <f>SUM(F89,F97,F111,F113)</f>
        <v>37672</v>
      </c>
      <c r="H115" s="6">
        <f>SUM(H89,H97,H111,H113)</f>
        <v>101161</v>
      </c>
      <c r="J115" s="6">
        <f>SUM(J89,J97,J111,J113)</f>
        <v>32296</v>
      </c>
      <c r="L115" s="6">
        <f>SUM(L89,L97,L111,L113)</f>
        <v>-41282</v>
      </c>
      <c r="N115" s="21">
        <f>SUM(N89,N97,N111,N113)</f>
        <v>66172.994055656774</v>
      </c>
      <c r="O115" s="21"/>
      <c r="P115" s="21">
        <f>SUM(P89,P97,P111,P113)</f>
        <v>-12536.659109654851</v>
      </c>
      <c r="Q115" s="21"/>
      <c r="R115" s="21">
        <f>SUM(R89,R97,R111,R113)</f>
        <v>-1128.4352140056144</v>
      </c>
      <c r="S115" s="21"/>
      <c r="T115" s="21">
        <f>SUM(T89,T97,T111,T113)</f>
        <v>39372.305646292705</v>
      </c>
      <c r="U115" s="21"/>
      <c r="V115" s="21">
        <f>SUM(V89,V97,V111,V113)</f>
        <v>210249.04608509006</v>
      </c>
      <c r="W115" s="21"/>
      <c r="X115" s="21">
        <f>SUM(X89,X97,X111,X113)</f>
        <v>54258.841077541685</v>
      </c>
      <c r="Y115" s="21"/>
      <c r="Z115" s="21">
        <f>SUM(Z89,Z97,Z111,Z113)</f>
        <v>65997.598212385928</v>
      </c>
      <c r="AA115" s="21"/>
      <c r="AB115" s="21">
        <f>SUM(AB89,AB97,AB111,AB113)</f>
        <v>45007.689470186917</v>
      </c>
      <c r="AC115" s="21"/>
      <c r="AD115" s="21">
        <f>SUM(AD89,AD97,AD111,AD113)</f>
        <v>45039.933692916413</v>
      </c>
      <c r="AH115" s="15"/>
    </row>
    <row r="116" spans="2:34" ht="29.4" thickBot="1" x14ac:dyDescent="0.35">
      <c r="B116" s="19" t="s">
        <v>80</v>
      </c>
      <c r="C116" s="5"/>
      <c r="D116" s="5">
        <v>143901</v>
      </c>
      <c r="E116" s="5"/>
      <c r="F116" s="5">
        <v>141666</v>
      </c>
      <c r="G116" s="5"/>
      <c r="H116" s="5">
        <v>179338</v>
      </c>
      <c r="I116" s="5"/>
      <c r="J116" s="5">
        <v>280499</v>
      </c>
      <c r="K116" s="5"/>
      <c r="L116" s="5">
        <v>312795</v>
      </c>
      <c r="M116" s="5"/>
      <c r="N116" s="20">
        <f>L117</f>
        <v>271513</v>
      </c>
      <c r="O116" s="20"/>
      <c r="P116" s="20">
        <f>N117</f>
        <v>337685.99405565677</v>
      </c>
      <c r="Q116" s="20"/>
      <c r="R116" s="20">
        <f>P117</f>
        <v>325149.33494600194</v>
      </c>
      <c r="S116" s="20"/>
      <c r="T116" s="20">
        <f>R117</f>
        <v>324020.89973199635</v>
      </c>
      <c r="U116" s="20"/>
      <c r="V116" s="20">
        <f>T117</f>
        <v>363393.20537828904</v>
      </c>
      <c r="W116" s="20"/>
      <c r="X116" s="20">
        <f>V117</f>
        <v>573642.25146337913</v>
      </c>
      <c r="Y116" s="20"/>
      <c r="Z116" s="20">
        <f>X117</f>
        <v>627901.09254092083</v>
      </c>
      <c r="AA116" s="20"/>
      <c r="AB116" s="20">
        <f>Z117</f>
        <v>693898.69075330673</v>
      </c>
      <c r="AC116" s="20"/>
      <c r="AD116" s="20">
        <f>AB117</f>
        <v>738906.38022349367</v>
      </c>
    </row>
    <row r="117" spans="2:34" s="6" customFormat="1" ht="28.8" x14ac:dyDescent="0.3">
      <c r="B117" s="15" t="s">
        <v>81</v>
      </c>
      <c r="D117" s="6">
        <f>D115+D116</f>
        <v>141666</v>
      </c>
      <c r="F117" s="6">
        <f>F115+F116</f>
        <v>179338</v>
      </c>
      <c r="H117" s="6">
        <f>H115+H116</f>
        <v>280499</v>
      </c>
      <c r="J117" s="6">
        <f>J115+J116</f>
        <v>312795</v>
      </c>
      <c r="L117" s="6">
        <f>L115+L116</f>
        <v>271513</v>
      </c>
      <c r="N117" s="21">
        <f>N115+N116</f>
        <v>337685.99405565677</v>
      </c>
      <c r="O117" s="21"/>
      <c r="P117" s="21">
        <f>P115+P116</f>
        <v>325149.33494600194</v>
      </c>
      <c r="Q117" s="21"/>
      <c r="R117" s="21">
        <f>R115+R116</f>
        <v>324020.89973199635</v>
      </c>
      <c r="S117" s="21"/>
      <c r="T117" s="21">
        <f>T115+T116</f>
        <v>363393.20537828904</v>
      </c>
      <c r="U117" s="21"/>
      <c r="V117" s="21">
        <f>V115+V116</f>
        <v>573642.25146337913</v>
      </c>
      <c r="W117" s="21"/>
      <c r="X117" s="21">
        <f>X115+X116</f>
        <v>627901.09254092083</v>
      </c>
      <c r="Y117" s="21"/>
      <c r="Z117" s="21">
        <f>Z115+Z116</f>
        <v>693898.69075330673</v>
      </c>
      <c r="AA117" s="21"/>
      <c r="AB117" s="21">
        <f>AB115+AB116</f>
        <v>738906.38022349367</v>
      </c>
      <c r="AC117" s="21"/>
      <c r="AD117" s="21">
        <f>AD115+AD116</f>
        <v>783946.31391641009</v>
      </c>
      <c r="AH117" s="15"/>
    </row>
    <row r="118" spans="2:34" x14ac:dyDescent="0.3"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</row>
    <row r="119" spans="2:34" x14ac:dyDescent="0.3"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</row>
    <row r="120" spans="2:34" s="6" customFormat="1" ht="29.4" thickBot="1" x14ac:dyDescent="0.35">
      <c r="B120" s="14" t="s">
        <v>82</v>
      </c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H120" s="15"/>
    </row>
    <row r="121" spans="2:34" ht="28.8" x14ac:dyDescent="0.3">
      <c r="B121" s="16" t="s">
        <v>83</v>
      </c>
      <c r="D121" s="4">
        <v>2137</v>
      </c>
      <c r="F121" s="4">
        <v>2055</v>
      </c>
      <c r="H121" s="4">
        <v>3761</v>
      </c>
      <c r="J121" s="4">
        <v>7751</v>
      </c>
      <c r="L121" s="4">
        <v>8210</v>
      </c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</row>
    <row r="122" spans="2:34" ht="28.8" x14ac:dyDescent="0.3">
      <c r="B122" s="16" t="s">
        <v>84</v>
      </c>
      <c r="D122" s="4">
        <v>6537</v>
      </c>
      <c r="F122" s="4">
        <v>6331</v>
      </c>
      <c r="H122" s="4">
        <v>4711</v>
      </c>
      <c r="J122" s="4">
        <v>28271</v>
      </c>
      <c r="L122" s="4">
        <v>10081</v>
      </c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</row>
    <row r="123" spans="2:34" ht="43.2" x14ac:dyDescent="0.3">
      <c r="B123" s="16" t="s">
        <v>85</v>
      </c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</row>
    <row r="124" spans="2:34" ht="28.8" x14ac:dyDescent="0.3">
      <c r="B124" s="16" t="s">
        <v>86</v>
      </c>
      <c r="D124" s="4">
        <v>5612</v>
      </c>
      <c r="F124" s="4">
        <v>2755</v>
      </c>
      <c r="H124" s="4">
        <v>5394</v>
      </c>
      <c r="J124" s="4">
        <v>4379</v>
      </c>
      <c r="L124" s="4">
        <v>13459</v>
      </c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</row>
    <row r="125" spans="2:34" x14ac:dyDescent="0.3"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</row>
    <row r="126" spans="2:34" x14ac:dyDescent="0.3"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</row>
    <row r="127" spans="2:34" s="6" customFormat="1" ht="15" thickBot="1" x14ac:dyDescent="0.35">
      <c r="B127" s="14" t="s">
        <v>184</v>
      </c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H127" s="15" t="s">
        <v>185</v>
      </c>
    </row>
    <row r="128" spans="2:34" s="6" customFormat="1" ht="15" thickBot="1" x14ac:dyDescent="0.35">
      <c r="B128" s="14" t="s">
        <v>87</v>
      </c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H128" s="15" t="s">
        <v>87</v>
      </c>
    </row>
    <row r="129" spans="2:62" s="6" customFormat="1" x14ac:dyDescent="0.3">
      <c r="B129" s="15" t="s">
        <v>88</v>
      </c>
      <c r="D129" s="91">
        <f>D130/D146</f>
        <v>0.25107846091133046</v>
      </c>
      <c r="F129" s="91">
        <f>F130/F146</f>
        <v>0.28619440499178145</v>
      </c>
      <c r="H129" s="91">
        <f>H130/H146</f>
        <v>0.29674206727870156</v>
      </c>
      <c r="J129" s="91">
        <f>J130/J146</f>
        <v>0.29716506471425103</v>
      </c>
      <c r="L129" s="91">
        <f>L130/L146</f>
        <v>0.2798782819697952</v>
      </c>
      <c r="N129" s="91">
        <f>N130/N146</f>
        <v>0.3121647981540901</v>
      </c>
      <c r="O129" s="21"/>
      <c r="P129" s="91">
        <f>P130/P146</f>
        <v>0.2706775360977558</v>
      </c>
      <c r="Q129" s="21"/>
      <c r="R129" s="91">
        <f>R130/R146</f>
        <v>0.24250159577437244</v>
      </c>
      <c r="S129" s="21"/>
      <c r="T129" s="91">
        <f>T130/T146</f>
        <v>0.25162707234145798</v>
      </c>
      <c r="U129" s="21"/>
      <c r="V129" s="91">
        <f>V130/V146</f>
        <v>0.33267309307465825</v>
      </c>
      <c r="W129" s="21"/>
      <c r="X129" s="91">
        <f>X130/X146</f>
        <v>0.3405014062985508</v>
      </c>
      <c r="Y129" s="21"/>
      <c r="Z129" s="91">
        <f>Z130/Z146</f>
        <v>0.36718923480012644</v>
      </c>
      <c r="AA129" s="21"/>
      <c r="AB129" s="91">
        <f>AB130/AB146</f>
        <v>0.3778316703394573</v>
      </c>
      <c r="AC129" s="21"/>
      <c r="AD129" s="91">
        <f>AD130/AD146</f>
        <v>0.38760560162480812</v>
      </c>
      <c r="AH129" s="15" t="s">
        <v>88</v>
      </c>
    </row>
    <row r="130" spans="2:62" x14ac:dyDescent="0.3">
      <c r="B130" s="16" t="s">
        <v>89</v>
      </c>
      <c r="D130" s="4">
        <v>141666</v>
      </c>
      <c r="F130" s="4">
        <v>179338</v>
      </c>
      <c r="H130" s="4">
        <v>280499</v>
      </c>
      <c r="J130" s="4">
        <v>308304</v>
      </c>
      <c r="L130" s="4">
        <v>271513</v>
      </c>
      <c r="N130" s="17">
        <f>N117</f>
        <v>337685.99405565677</v>
      </c>
      <c r="O130" s="17"/>
      <c r="P130" s="17">
        <f>P117</f>
        <v>325149.33494600194</v>
      </c>
      <c r="Q130" s="17"/>
      <c r="R130" s="17">
        <f>R117</f>
        <v>324020.89973199635</v>
      </c>
      <c r="S130" s="17"/>
      <c r="T130" s="17">
        <f>T117</f>
        <v>363393.20537828904</v>
      </c>
      <c r="U130" s="17"/>
      <c r="V130" s="17">
        <f>V117</f>
        <v>573642.25146337913</v>
      </c>
      <c r="W130" s="17"/>
      <c r="X130" s="17">
        <f>X117</f>
        <v>627901.09254092083</v>
      </c>
      <c r="Y130" s="17"/>
      <c r="Z130" s="17">
        <f>Z117</f>
        <v>693898.69075330673</v>
      </c>
      <c r="AA130" s="17"/>
      <c r="AB130" s="17">
        <f>AB117</f>
        <v>738906.38022349367</v>
      </c>
      <c r="AC130" s="17"/>
      <c r="AD130" s="17">
        <f>AD117</f>
        <v>783946.31391641009</v>
      </c>
      <c r="AH130" s="16" t="s">
        <v>89</v>
      </c>
      <c r="AJ130" s="18">
        <f>D130/D$146</f>
        <v>0.25107846091133046</v>
      </c>
      <c r="AL130" s="18">
        <f>F130/F$146</f>
        <v>0.28619440499178145</v>
      </c>
      <c r="AN130" s="18">
        <f>H130/H$146</f>
        <v>0.29674206727870156</v>
      </c>
      <c r="AP130" s="18">
        <f>J130/J$146</f>
        <v>0.29716506471425103</v>
      </c>
      <c r="AR130" s="18">
        <f>L130/L$146</f>
        <v>0.2798782819697952</v>
      </c>
      <c r="AT130" s="18">
        <f>N130/N$146</f>
        <v>0.3121647981540901</v>
      </c>
      <c r="AV130" s="18">
        <f>P130/P$146</f>
        <v>0.2706775360977558</v>
      </c>
      <c r="AX130" s="18">
        <f>R130/R$146</f>
        <v>0.24250159577437244</v>
      </c>
      <c r="AZ130" s="18">
        <f>T130/T$146</f>
        <v>0.25162707234145798</v>
      </c>
      <c r="BB130" s="18">
        <f>V130/V$146</f>
        <v>0.33267309307465825</v>
      </c>
      <c r="BD130" s="18">
        <f>X130/X$146</f>
        <v>0.3405014062985508</v>
      </c>
      <c r="BF130" s="18">
        <f>Z130/Z$146</f>
        <v>0.36718923480012644</v>
      </c>
      <c r="BH130" s="18">
        <f>AB130/AB$146</f>
        <v>0.3778316703394573</v>
      </c>
      <c r="BJ130" s="18">
        <f>AD130/AD$146</f>
        <v>0.38760560162480812</v>
      </c>
    </row>
    <row r="131" spans="2:62" x14ac:dyDescent="0.3">
      <c r="B131" s="16" t="s">
        <v>90</v>
      </c>
      <c r="D131" s="4">
        <v>96043</v>
      </c>
      <c r="F131" s="4">
        <v>60587</v>
      </c>
      <c r="H131" s="4">
        <v>58834</v>
      </c>
      <c r="J131" s="4">
        <v>113906</v>
      </c>
      <c r="L131" s="4">
        <v>138478</v>
      </c>
      <c r="N131" s="17">
        <f>N$10/'BS Modelling'!N10</f>
        <v>134402.04042356834</v>
      </c>
      <c r="O131" s="17"/>
      <c r="P131" s="17">
        <f>P10/'BS Modelling'!P10</f>
        <v>182989.75945422833</v>
      </c>
      <c r="Q131" s="17"/>
      <c r="R131" s="17">
        <f>R10/'BS Modelling'!R10</f>
        <v>230875.40554094448</v>
      </c>
      <c r="S131" s="17"/>
      <c r="T131" s="17">
        <f>T10/'BS Modelling'!T10</f>
        <v>248915.30973411203</v>
      </c>
      <c r="U131" s="17"/>
      <c r="V131" s="17">
        <f>V10/'BS Modelling'!V10</f>
        <v>271462.83002241945</v>
      </c>
      <c r="W131" s="17"/>
      <c r="X131" s="17">
        <f>X10/'BS Modelling'!X10</f>
        <v>295369.05835077533</v>
      </c>
      <c r="Y131" s="17"/>
      <c r="Z131" s="17">
        <f>Z10/'BS Modelling'!Z10</f>
        <v>279350.98461634171</v>
      </c>
      <c r="AA131" s="17"/>
      <c r="AB131" s="17">
        <f>AB10/'BS Modelling'!AB10</f>
        <v>283769.0157370636</v>
      </c>
      <c r="AC131" s="17"/>
      <c r="AD131" s="17">
        <f>AD10/'BS Modelling'!AD10</f>
        <v>289537.4731874906</v>
      </c>
      <c r="AH131" s="16" t="s">
        <v>90</v>
      </c>
      <c r="AJ131" s="18">
        <f t="shared" ref="AJ131:BJ137" si="4">D131/D$146</f>
        <v>0.17021959130141964</v>
      </c>
      <c r="AL131" s="18">
        <f t="shared" si="4"/>
        <v>9.6687040199160593E-2</v>
      </c>
      <c r="AN131" s="18">
        <f t="shared" si="4"/>
        <v>6.2240944838573856E-2</v>
      </c>
      <c r="AP131" s="18">
        <f t="shared" si="4"/>
        <v>0.10979060881902757</v>
      </c>
      <c r="AR131" s="18">
        <f t="shared" si="4"/>
        <v>0.1427444900635082</v>
      </c>
      <c r="AT131" s="18">
        <f t="shared" si="4"/>
        <v>0.12424437660688416</v>
      </c>
      <c r="AV131" s="18">
        <f t="shared" si="4"/>
        <v>0.15233374913227876</v>
      </c>
      <c r="AX131" s="18">
        <f t="shared" si="4"/>
        <v>0.17279025616879296</v>
      </c>
      <c r="AZ131" s="18">
        <f t="shared" si="4"/>
        <v>0.17235828772351586</v>
      </c>
      <c r="BB131" s="18">
        <f t="shared" si="4"/>
        <v>0.15742979023595108</v>
      </c>
      <c r="BD131" s="18">
        <f t="shared" si="4"/>
        <v>0.16017423912821627</v>
      </c>
      <c r="BF131" s="18">
        <f t="shared" si="4"/>
        <v>0.14782370344376902</v>
      </c>
      <c r="BH131" s="18">
        <f t="shared" si="4"/>
        <v>0.14510217271921386</v>
      </c>
      <c r="BJ131" s="18">
        <f t="shared" si="4"/>
        <v>0.14315565300270092</v>
      </c>
    </row>
    <row r="132" spans="2:62" x14ac:dyDescent="0.3">
      <c r="B132" s="16" t="s">
        <v>57</v>
      </c>
      <c r="D132" s="4">
        <v>15161</v>
      </c>
      <c r="F132" s="4">
        <v>14643</v>
      </c>
      <c r="H132" s="4">
        <v>65674</v>
      </c>
      <c r="J132" s="4">
        <v>60887</v>
      </c>
      <c r="L132" s="4">
        <v>74002</v>
      </c>
      <c r="N132" s="17">
        <f>N13/'BS Modelling'!N11</f>
        <v>84728.945555687416</v>
      </c>
      <c r="O132" s="17"/>
      <c r="P132" s="17">
        <f>P13/'BS Modelling'!P11</f>
        <v>115359.33023920684</v>
      </c>
      <c r="Q132" s="17"/>
      <c r="R132" s="17">
        <f>R13/'BS Modelling'!R11</f>
        <v>145547.11821767577</v>
      </c>
      <c r="S132" s="17"/>
      <c r="T132" s="17">
        <f>T13/'BS Modelling'!T11</f>
        <v>156919.72874795963</v>
      </c>
      <c r="U132" s="17"/>
      <c r="V132" s="17">
        <f>V13/'BS Modelling'!V11</f>
        <v>171134.00416299823</v>
      </c>
      <c r="W132" s="17"/>
      <c r="X132" s="17">
        <f>X13/'BS Modelling'!X11</f>
        <v>186204.82832676522</v>
      </c>
      <c r="Y132" s="17"/>
      <c r="Z132" s="17">
        <f>Z13/'BS Modelling'!Z11</f>
        <v>176106.80828871659</v>
      </c>
      <c r="AA132" s="17"/>
      <c r="AB132" s="17">
        <f>AB13/'BS Modelling'!AB11</f>
        <v>178891.99753964809</v>
      </c>
      <c r="AC132" s="17"/>
      <c r="AD132" s="17">
        <f>AD13/'BS Modelling'!AD11</f>
        <v>182528.51463207623</v>
      </c>
      <c r="AH132" s="16" t="s">
        <v>57</v>
      </c>
      <c r="AJ132" s="18">
        <f t="shared" si="4"/>
        <v>2.6870247948531628E-2</v>
      </c>
      <c r="AL132" s="18">
        <f t="shared" si="4"/>
        <v>2.3367856629909197E-2</v>
      </c>
      <c r="AN132" s="18">
        <f t="shared" si="4"/>
        <v>6.9477033880553749E-2</v>
      </c>
      <c r="AP132" s="18">
        <f t="shared" si="4"/>
        <v>5.8687170115394552E-2</v>
      </c>
      <c r="AR132" s="18">
        <f t="shared" si="4"/>
        <v>7.6281992473026278E-2</v>
      </c>
      <c r="AT132" s="18">
        <f t="shared" si="4"/>
        <v>7.8325410744872967E-2</v>
      </c>
      <c r="AV132" s="18">
        <f t="shared" si="4"/>
        <v>9.6033348123628973E-2</v>
      </c>
      <c r="AX132" s="18">
        <f t="shared" si="4"/>
        <v>0.10892941923604647</v>
      </c>
      <c r="AZ132" s="18">
        <f t="shared" si="4"/>
        <v>0.10865710022387735</v>
      </c>
      <c r="BB132" s="18">
        <f t="shared" si="4"/>
        <v>9.9245964448960292E-2</v>
      </c>
      <c r="BD132" s="18">
        <f t="shared" si="4"/>
        <v>0.10097610381321602</v>
      </c>
      <c r="BF132" s="18">
        <f t="shared" si="4"/>
        <v>9.3190151588880568E-2</v>
      </c>
      <c r="BH132" s="18">
        <f t="shared" si="4"/>
        <v>9.1474460161412266E-2</v>
      </c>
      <c r="BJ132" s="18">
        <f t="shared" si="4"/>
        <v>9.0247346625310199E-2</v>
      </c>
    </row>
    <row r="133" spans="2:62" x14ac:dyDescent="0.3">
      <c r="B133" s="16" t="s">
        <v>148</v>
      </c>
      <c r="D133" s="4">
        <v>1264</v>
      </c>
      <c r="F133" s="4">
        <v>0</v>
      </c>
      <c r="H133" s="4">
        <v>1710</v>
      </c>
      <c r="J133" s="4">
        <v>0</v>
      </c>
      <c r="L133" s="4">
        <v>0</v>
      </c>
      <c r="N133" s="17">
        <f>'BS Modelling'!N19*'Financial Statements'!N$10</f>
        <v>0</v>
      </c>
      <c r="O133" s="17"/>
      <c r="P133" s="17">
        <f>'BS Modelling'!P19*'Financial Statements'!P$10</f>
        <v>0</v>
      </c>
      <c r="Q133" s="17"/>
      <c r="R133" s="17">
        <f>'BS Modelling'!R19*'Financial Statements'!R$10</f>
        <v>0</v>
      </c>
      <c r="S133" s="17"/>
      <c r="T133" s="17">
        <f>'BS Modelling'!T19*'Financial Statements'!T$10</f>
        <v>0</v>
      </c>
      <c r="U133" s="17"/>
      <c r="V133" s="17">
        <f>'BS Modelling'!V19*'Financial Statements'!V$10</f>
        <v>0</v>
      </c>
      <c r="W133" s="17"/>
      <c r="X133" s="17">
        <f>'BS Modelling'!X19*'Financial Statements'!X$10</f>
        <v>0</v>
      </c>
      <c r="Y133" s="17"/>
      <c r="Z133" s="17">
        <f>'BS Modelling'!Z19*'Financial Statements'!Z$10</f>
        <v>0</v>
      </c>
      <c r="AA133" s="17"/>
      <c r="AB133" s="17">
        <f>'BS Modelling'!AB19*'Financial Statements'!AB$10</f>
        <v>0</v>
      </c>
      <c r="AC133" s="17"/>
      <c r="AD133" s="17">
        <f>'BS Modelling'!AD19*'Financial Statements'!AD$10</f>
        <v>0</v>
      </c>
      <c r="AH133" s="16" t="s">
        <v>148</v>
      </c>
      <c r="AJ133" s="18">
        <f t="shared" si="4"/>
        <v>2.2402211863956187E-3</v>
      </c>
      <c r="AL133" s="18">
        <f t="shared" si="4"/>
        <v>0</v>
      </c>
      <c r="AN133" s="18">
        <f t="shared" si="4"/>
        <v>1.8090222604949739E-3</v>
      </c>
      <c r="AP133" s="18">
        <f t="shared" si="4"/>
        <v>0</v>
      </c>
      <c r="AR133" s="18">
        <f t="shared" si="4"/>
        <v>0</v>
      </c>
      <c r="AT133" s="18">
        <f t="shared" si="4"/>
        <v>0</v>
      </c>
      <c r="AV133" s="18">
        <f t="shared" si="4"/>
        <v>0</v>
      </c>
      <c r="AX133" s="18">
        <f t="shared" si="4"/>
        <v>0</v>
      </c>
      <c r="AZ133" s="18">
        <f t="shared" si="4"/>
        <v>0</v>
      </c>
      <c r="BB133" s="18">
        <f t="shared" si="4"/>
        <v>0</v>
      </c>
      <c r="BD133" s="18">
        <f t="shared" si="4"/>
        <v>0</v>
      </c>
      <c r="BF133" s="18">
        <f t="shared" si="4"/>
        <v>0</v>
      </c>
      <c r="BH133" s="18">
        <f t="shared" si="4"/>
        <v>0</v>
      </c>
      <c r="BJ133" s="18">
        <f t="shared" si="4"/>
        <v>0</v>
      </c>
    </row>
    <row r="134" spans="2:62" x14ac:dyDescent="0.3">
      <c r="B134" s="16" t="s">
        <v>91</v>
      </c>
      <c r="D134" s="4">
        <v>0</v>
      </c>
      <c r="F134" s="4">
        <v>5651</v>
      </c>
      <c r="H134" s="4">
        <v>1357</v>
      </c>
      <c r="J134" s="4">
        <v>6573</v>
      </c>
      <c r="L134" s="4">
        <v>9996</v>
      </c>
      <c r="N134" s="17">
        <f>'BS Modelling'!N20*'Financial Statements'!N$10</f>
        <v>7737.9846009681842</v>
      </c>
      <c r="O134" s="17"/>
      <c r="P134" s="17">
        <f>'BS Modelling'!P20*'Financial Statements'!P$10</f>
        <v>10535.345567145054</v>
      </c>
      <c r="Q134" s="17"/>
      <c r="R134" s="17">
        <f>'BS Modelling'!R20*'Financial Statements'!R$10</f>
        <v>13292.285795572163</v>
      </c>
      <c r="S134" s="17"/>
      <c r="T134" s="17">
        <f>'BS Modelling'!T20*'Financial Statements'!T$10</f>
        <v>14330.904706488587</v>
      </c>
      <c r="U134" s="17"/>
      <c r="V134" s="17">
        <f>'BS Modelling'!V20*'Financial Statements'!V$10</f>
        <v>15629.042474569267</v>
      </c>
      <c r="W134" s="17"/>
      <c r="X134" s="17">
        <f>'BS Modelling'!X20*'Financial Statements'!X$10</f>
        <v>17005.40570602813</v>
      </c>
      <c r="Y134" s="17"/>
      <c r="Z134" s="17">
        <f>'BS Modelling'!Z20*'Financial Statements'!Z$10</f>
        <v>16083.190481440774</v>
      </c>
      <c r="AA134" s="17"/>
      <c r="AB134" s="17">
        <f>'BS Modelling'!AB20*'Financial Statements'!AB$10</f>
        <v>16337.551625594575</v>
      </c>
      <c r="AC134" s="17"/>
      <c r="AD134" s="17">
        <f>'BS Modelling'!AD20*'Financial Statements'!AD$10</f>
        <v>16669.661426770755</v>
      </c>
      <c r="AH134" s="16" t="s">
        <v>91</v>
      </c>
      <c r="AJ134" s="18">
        <f t="shared" si="4"/>
        <v>0</v>
      </c>
      <c r="AL134" s="18">
        <f t="shared" si="4"/>
        <v>9.0180808451558337E-3</v>
      </c>
      <c r="AN134" s="18">
        <f t="shared" si="4"/>
        <v>1.4355808230945494E-3</v>
      </c>
      <c r="AP134" s="18">
        <f t="shared" si="4"/>
        <v>6.3355193911424175E-3</v>
      </c>
      <c r="AR134" s="18">
        <f t="shared" si="4"/>
        <v>1.0303975524450296E-2</v>
      </c>
      <c r="AT134" s="18">
        <f t="shared" si="4"/>
        <v>7.1531731952216172E-3</v>
      </c>
      <c r="AV134" s="18">
        <f t="shared" si="4"/>
        <v>8.7703743282354259E-3</v>
      </c>
      <c r="AX134" s="18">
        <f t="shared" si="4"/>
        <v>9.9481253202537458E-3</v>
      </c>
      <c r="AZ134" s="18">
        <f t="shared" si="4"/>
        <v>9.9232554212021814E-3</v>
      </c>
      <c r="BB134" s="18">
        <f t="shared" si="4"/>
        <v>9.0637708232725808E-3</v>
      </c>
      <c r="BD134" s="18">
        <f t="shared" si="4"/>
        <v>9.2217781213728596E-3</v>
      </c>
      <c r="BF134" s="18">
        <f t="shared" si="4"/>
        <v>8.5107155910810785E-3</v>
      </c>
      <c r="BH134" s="18">
        <f t="shared" si="4"/>
        <v>8.3540277701871259E-3</v>
      </c>
      <c r="BJ134" s="18">
        <f t="shared" si="4"/>
        <v>8.2419599805584158E-3</v>
      </c>
    </row>
    <row r="135" spans="2:62" ht="28.8" x14ac:dyDescent="0.3">
      <c r="B135" s="16" t="s">
        <v>300</v>
      </c>
      <c r="D135" s="4">
        <v>9213</v>
      </c>
      <c r="F135" s="4">
        <v>12896</v>
      </c>
      <c r="H135" s="4">
        <v>24101</v>
      </c>
      <c r="J135" s="4">
        <v>18458</v>
      </c>
      <c r="L135" s="4">
        <v>16229</v>
      </c>
      <c r="N135" s="17">
        <f>'BS Modelling'!N21*'Financial Statements'!N10</f>
        <v>22932.734909765164</v>
      </c>
      <c r="O135" s="17"/>
      <c r="P135" s="17">
        <f>'BS Modelling'!P21*'Financial Statements'!P10</f>
        <v>31223.15428798828</v>
      </c>
      <c r="Q135" s="17"/>
      <c r="R135" s="17">
        <f>'BS Modelling'!R21*'Financial Statements'!R10</f>
        <v>39393.780449828359</v>
      </c>
      <c r="S135" s="17"/>
      <c r="T135" s="17">
        <f>'BS Modelling'!T21*'Financial Statements'!T10</f>
        <v>42471.891015379915</v>
      </c>
      <c r="U135" s="17"/>
      <c r="V135" s="17">
        <f>'BS Modelling'!V21*'Financial Statements'!V10</f>
        <v>46319.126548521657</v>
      </c>
      <c r="W135" s="17"/>
      <c r="X135" s="17">
        <f>'BS Modelling'!X21*'Financial Statements'!X10</f>
        <v>50398.19555088754</v>
      </c>
      <c r="Y135" s="17"/>
      <c r="Z135" s="17">
        <f>'BS Modelling'!Z21*'Financial Statements'!Z10</f>
        <v>47665.065625484844</v>
      </c>
      <c r="AA135" s="17"/>
      <c r="AB135" s="17">
        <f>'BS Modelling'!AB21*'Financial Statements'!AB10</f>
        <v>48418.904899020461</v>
      </c>
      <c r="AC135" s="17"/>
      <c r="AD135" s="17">
        <f>'BS Modelling'!AD21*'Financial Statements'!AD10</f>
        <v>49403.164551120986</v>
      </c>
      <c r="AH135" s="16" t="s">
        <v>92</v>
      </c>
      <c r="AJ135" s="18">
        <f t="shared" si="4"/>
        <v>1.6328447618878826E-2</v>
      </c>
      <c r="AL135" s="18">
        <f t="shared" si="4"/>
        <v>2.0579927548952333E-2</v>
      </c>
      <c r="AN135" s="18">
        <f t="shared" si="4"/>
        <v>2.5496634795432377E-2</v>
      </c>
      <c r="AP135" s="18">
        <f t="shared" si="4"/>
        <v>1.7791117742538679E-2</v>
      </c>
      <c r="AR135" s="18">
        <f t="shared" si="4"/>
        <v>1.6729013484023992E-2</v>
      </c>
      <c r="AT135" s="18">
        <f t="shared" si="4"/>
        <v>2.1199554290807214E-2</v>
      </c>
      <c r="AV135" s="18">
        <f t="shared" si="4"/>
        <v>2.5992384309432112E-2</v>
      </c>
      <c r="AX135" s="18">
        <f t="shared" si="4"/>
        <v>2.9482834689275164E-2</v>
      </c>
      <c r="AZ135" s="18">
        <f t="shared" si="4"/>
        <v>2.9409128830244279E-2</v>
      </c>
      <c r="BB135" s="18">
        <f t="shared" si="4"/>
        <v>2.6861910987386405E-2</v>
      </c>
      <c r="BD135" s="18">
        <f t="shared" si="4"/>
        <v>2.7330190477201949E-2</v>
      </c>
      <c r="BF135" s="18">
        <f t="shared" si="4"/>
        <v>2.5222844785481657E-2</v>
      </c>
      <c r="BH135" s="18">
        <f t="shared" si="4"/>
        <v>2.4758475773982179E-2</v>
      </c>
      <c r="BJ135" s="18">
        <f t="shared" si="4"/>
        <v>2.4426345245943004E-2</v>
      </c>
    </row>
    <row r="136" spans="2:62" ht="29.4" thickBot="1" x14ac:dyDescent="0.35">
      <c r="B136" s="19" t="s">
        <v>93</v>
      </c>
      <c r="C136" s="5"/>
      <c r="D136" s="5">
        <v>0</v>
      </c>
      <c r="E136" s="5"/>
      <c r="F136" s="5">
        <v>0</v>
      </c>
      <c r="G136" s="5"/>
      <c r="H136" s="5">
        <v>0</v>
      </c>
      <c r="I136" s="5"/>
      <c r="J136" s="5">
        <v>29282</v>
      </c>
      <c r="K136" s="5"/>
      <c r="L136" s="5">
        <v>0</v>
      </c>
      <c r="M136" s="5"/>
      <c r="N136" s="20">
        <f>'BS Modelling'!N22*'Financial Statements'!N10</f>
        <v>0</v>
      </c>
      <c r="O136" s="20"/>
      <c r="P136" s="20">
        <f>'BS Modelling'!P22*'Financial Statements'!P10</f>
        <v>0</v>
      </c>
      <c r="Q136" s="20"/>
      <c r="R136" s="20">
        <f>'BS Modelling'!R22*'Financial Statements'!R10</f>
        <v>0</v>
      </c>
      <c r="S136" s="20"/>
      <c r="T136" s="20">
        <f>'BS Modelling'!T22*'Financial Statements'!T10</f>
        <v>0</v>
      </c>
      <c r="U136" s="20"/>
      <c r="V136" s="20">
        <f>'BS Modelling'!V22*'Financial Statements'!V10</f>
        <v>0</v>
      </c>
      <c r="W136" s="20"/>
      <c r="X136" s="20">
        <f>'BS Modelling'!X22*'Financial Statements'!X10</f>
        <v>0</v>
      </c>
      <c r="Y136" s="20"/>
      <c r="Z136" s="20">
        <f>'BS Modelling'!Z22*'Financial Statements'!Z10</f>
        <v>0</v>
      </c>
      <c r="AA136" s="20"/>
      <c r="AB136" s="20">
        <f>'BS Modelling'!AB22*'Financial Statements'!AB10</f>
        <v>0</v>
      </c>
      <c r="AC136" s="20"/>
      <c r="AD136" s="20">
        <f>'BS Modelling'!AD22*'Financial Statements'!AD10</f>
        <v>0</v>
      </c>
      <c r="AH136" s="16" t="s">
        <v>93</v>
      </c>
      <c r="AJ136" s="18">
        <f t="shared" si="4"/>
        <v>0</v>
      </c>
      <c r="AL136" s="18">
        <f t="shared" si="4"/>
        <v>0</v>
      </c>
      <c r="AN136" s="18">
        <f t="shared" si="4"/>
        <v>0</v>
      </c>
      <c r="AP136" s="18">
        <f t="shared" si="4"/>
        <v>2.8224049720284843E-2</v>
      </c>
      <c r="AR136" s="18">
        <f t="shared" si="4"/>
        <v>0</v>
      </c>
      <c r="AT136" s="18">
        <f t="shared" si="4"/>
        <v>0</v>
      </c>
      <c r="AV136" s="18">
        <f t="shared" si="4"/>
        <v>0</v>
      </c>
      <c r="AX136" s="18">
        <f t="shared" si="4"/>
        <v>0</v>
      </c>
      <c r="AZ136" s="18">
        <f t="shared" si="4"/>
        <v>0</v>
      </c>
      <c r="BB136" s="18">
        <f t="shared" si="4"/>
        <v>0</v>
      </c>
      <c r="BD136" s="18">
        <f t="shared" si="4"/>
        <v>0</v>
      </c>
      <c r="BF136" s="18">
        <f t="shared" si="4"/>
        <v>0</v>
      </c>
      <c r="BH136" s="18">
        <f t="shared" si="4"/>
        <v>0</v>
      </c>
      <c r="BJ136" s="18">
        <f t="shared" si="4"/>
        <v>0</v>
      </c>
    </row>
    <row r="137" spans="2:62" s="6" customFormat="1" x14ac:dyDescent="0.3">
      <c r="B137" s="15" t="s">
        <v>94</v>
      </c>
      <c r="D137" s="6">
        <f>SUM(D130:D136)</f>
        <v>263347</v>
      </c>
      <c r="F137" s="6">
        <f>SUM(F130:F136)</f>
        <v>273115</v>
      </c>
      <c r="H137" s="6">
        <f>SUM(H130:H136)</f>
        <v>432175</v>
      </c>
      <c r="J137" s="6">
        <f>SUM(J130:J136)</f>
        <v>537410</v>
      </c>
      <c r="L137" s="6">
        <f>SUM(L130:L136)</f>
        <v>510218</v>
      </c>
      <c r="N137" s="21">
        <f>SUM(N130:N136)</f>
        <v>587487.69954564585</v>
      </c>
      <c r="O137" s="21"/>
      <c r="P137" s="21">
        <f>SUM(P130:P136)</f>
        <v>665256.92449457047</v>
      </c>
      <c r="Q137" s="21"/>
      <c r="R137" s="21">
        <f>SUM(R130:R136)</f>
        <v>753129.48973601707</v>
      </c>
      <c r="S137" s="21"/>
      <c r="T137" s="21">
        <f>SUM(T130:T136)</f>
        <v>826031.03958222922</v>
      </c>
      <c r="U137" s="21"/>
      <c r="V137" s="21">
        <f>SUM(V130:V136)</f>
        <v>1078187.2546718877</v>
      </c>
      <c r="W137" s="21"/>
      <c r="X137" s="21">
        <f>SUM(X130:X136)</f>
        <v>1176878.5804753772</v>
      </c>
      <c r="Y137" s="21"/>
      <c r="Z137" s="21">
        <f>SUM(Z130:Z136)</f>
        <v>1213104.7397652906</v>
      </c>
      <c r="AA137" s="21"/>
      <c r="AB137" s="21">
        <f>SUM(AB130:AB136)</f>
        <v>1266323.8500248203</v>
      </c>
      <c r="AC137" s="21"/>
      <c r="AD137" s="21">
        <f>SUM(AD130:AD136)</f>
        <v>1322085.1277138686</v>
      </c>
      <c r="AH137" s="15" t="s">
        <v>94</v>
      </c>
      <c r="AJ137" s="18">
        <f t="shared" si="4"/>
        <v>0.4667369689665562</v>
      </c>
      <c r="AL137" s="18">
        <f t="shared" si="4"/>
        <v>0.43584731021495937</v>
      </c>
      <c r="AN137" s="18">
        <f t="shared" si="4"/>
        <v>0.45720128387685105</v>
      </c>
      <c r="AP137" s="18">
        <f t="shared" si="4"/>
        <v>0.51799353050263908</v>
      </c>
      <c r="AR137" s="18">
        <f t="shared" si="4"/>
        <v>0.52593775351480399</v>
      </c>
      <c r="AT137" s="18">
        <f t="shared" si="4"/>
        <v>0.54308731299187607</v>
      </c>
      <c r="AV137" s="18">
        <f t="shared" si="4"/>
        <v>0.55380739199133111</v>
      </c>
      <c r="AX137" s="18">
        <f t="shared" si="4"/>
        <v>0.56365223118874075</v>
      </c>
      <c r="AZ137" s="18">
        <f t="shared" si="4"/>
        <v>0.57197484454029768</v>
      </c>
      <c r="BB137" s="18">
        <f t="shared" si="4"/>
        <v>0.62527452957022855</v>
      </c>
      <c r="BD137" s="18">
        <f t="shared" si="4"/>
        <v>0.638203717838558</v>
      </c>
      <c r="BF137" s="18">
        <f t="shared" si="4"/>
        <v>0.64193665020933877</v>
      </c>
      <c r="BH137" s="18">
        <f t="shared" si="4"/>
        <v>0.64752080676425261</v>
      </c>
      <c r="BJ137" s="18">
        <f t="shared" si="4"/>
        <v>0.65367690647932064</v>
      </c>
    </row>
    <row r="138" spans="2:62" x14ac:dyDescent="0.3"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</row>
    <row r="139" spans="2:62" ht="28.8" x14ac:dyDescent="0.3">
      <c r="B139" s="16" t="s">
        <v>95</v>
      </c>
      <c r="D139" s="4">
        <v>241764</v>
      </c>
      <c r="F139" s="4">
        <v>264240</v>
      </c>
      <c r="H139" s="4">
        <v>313979</v>
      </c>
      <c r="J139" s="4">
        <v>327808</v>
      </c>
      <c r="L139" s="4">
        <v>376448</v>
      </c>
      <c r="N139" s="17">
        <f>'IS Modelling'!N98</f>
        <v>408266.69199108129</v>
      </c>
      <c r="O139" s="17"/>
      <c r="P139" s="17">
        <f>'IS Modelling'!P98</f>
        <v>449928.37892399245</v>
      </c>
      <c r="Q139" s="17"/>
      <c r="R139" s="17">
        <f>'IS Modelling'!R98</f>
        <v>496528.94145432021</v>
      </c>
      <c r="S139" s="17"/>
      <c r="T139" s="17">
        <f>'IS Modelling'!T98</f>
        <v>534969.18399090436</v>
      </c>
      <c r="U139" s="17"/>
      <c r="V139" s="17">
        <f>'IS Modelling'!V98</f>
        <v>565088.41910917708</v>
      </c>
      <c r="W139" s="17"/>
      <c r="X139" s="17">
        <f>'IS Modelling'!X98</f>
        <v>585525.91336149548</v>
      </c>
      <c r="Y139" s="17"/>
      <c r="Z139" s="17">
        <f>'IS Modelling'!Z98</f>
        <v>599586.04882068618</v>
      </c>
      <c r="AA139" s="17"/>
      <c r="AB139" s="17">
        <f>'IS Modelling'!AB98</f>
        <v>611688.49153622088</v>
      </c>
      <c r="AC139" s="17"/>
      <c r="AD139" s="17">
        <f>'IS Modelling'!AD98</f>
        <v>622068.88319999899</v>
      </c>
      <c r="AH139" s="16" t="s">
        <v>95</v>
      </c>
      <c r="AJ139" s="18">
        <f t="shared" ref="AJ139:BJ146" si="5">D139/D$146</f>
        <v>0.4284848377434734</v>
      </c>
      <c r="AL139" s="18">
        <f t="shared" si="5"/>
        <v>0.42168424748256544</v>
      </c>
      <c r="AN139" s="18">
        <f t="shared" si="5"/>
        <v>0.33216081890523474</v>
      </c>
      <c r="AP139" s="18">
        <f t="shared" si="5"/>
        <v>0.31596439077614691</v>
      </c>
      <c r="AR139" s="18">
        <f t="shared" si="5"/>
        <v>0.3880463163493662</v>
      </c>
      <c r="AT139" s="18">
        <f t="shared" si="5"/>
        <v>0.37741123926338638</v>
      </c>
      <c r="AV139" s="18">
        <f t="shared" si="5"/>
        <v>0.37455252691145391</v>
      </c>
      <c r="AX139" s="18">
        <f t="shared" si="5"/>
        <v>0.37160893248066756</v>
      </c>
      <c r="AZ139" s="18">
        <f t="shared" si="5"/>
        <v>0.37043270916526744</v>
      </c>
      <c r="BB139" s="18">
        <f t="shared" si="5"/>
        <v>0.32771245801046067</v>
      </c>
      <c r="BD139" s="18">
        <f t="shared" si="5"/>
        <v>0.31752197805076976</v>
      </c>
      <c r="BF139" s="18">
        <f t="shared" si="5"/>
        <v>0.31728196838689576</v>
      </c>
      <c r="BH139" s="18">
        <f t="shared" si="5"/>
        <v>0.31278019877788704</v>
      </c>
      <c r="BJ139" s="18">
        <f t="shared" si="5"/>
        <v>0.30756874475274049</v>
      </c>
    </row>
    <row r="140" spans="2:62" ht="28.8" x14ac:dyDescent="0.3">
      <c r="B140" s="16" t="s">
        <v>96</v>
      </c>
      <c r="D140" s="4">
        <v>41800</v>
      </c>
      <c r="F140" s="4">
        <v>41800</v>
      </c>
      <c r="H140" s="4">
        <v>77800</v>
      </c>
      <c r="J140" s="4">
        <v>701</v>
      </c>
      <c r="L140" s="4">
        <v>0</v>
      </c>
      <c r="N140" s="17">
        <f>'BS Modelling'!N23*'Financial Statements'!N10</f>
        <v>0</v>
      </c>
      <c r="O140" s="17"/>
      <c r="P140" s="17">
        <f>'BS Modelling'!P23*'Financial Statements'!P10</f>
        <v>0</v>
      </c>
      <c r="Q140" s="17"/>
      <c r="R140" s="17">
        <f>'BS Modelling'!R23*'Financial Statements'!R10</f>
        <v>0</v>
      </c>
      <c r="S140" s="17"/>
      <c r="T140" s="17">
        <f>'BS Modelling'!T23*'Financial Statements'!T10</f>
        <v>0</v>
      </c>
      <c r="U140" s="17"/>
      <c r="V140" s="17">
        <f>'BS Modelling'!V23*'Financial Statements'!V10</f>
        <v>0</v>
      </c>
      <c r="W140" s="17"/>
      <c r="X140" s="17">
        <f>'BS Modelling'!X23*'Financial Statements'!X10</f>
        <v>0</v>
      </c>
      <c r="Y140" s="17"/>
      <c r="Z140" s="17">
        <f>'BS Modelling'!Z23*'Financial Statements'!Z10</f>
        <v>0</v>
      </c>
      <c r="AA140" s="17"/>
      <c r="AB140" s="17">
        <f>'BS Modelling'!AB23*'Financial Statements'!AB10</f>
        <v>0</v>
      </c>
      <c r="AC140" s="17"/>
      <c r="AD140" s="17">
        <f>'BS Modelling'!AD23*'Financial Statements'!AD10</f>
        <v>0</v>
      </c>
      <c r="AH140" s="16" t="s">
        <v>96</v>
      </c>
      <c r="AJ140" s="18">
        <f t="shared" si="5"/>
        <v>7.4083263917196884E-2</v>
      </c>
      <c r="AL140" s="18">
        <f t="shared" si="5"/>
        <v>6.6706030672007408E-2</v>
      </c>
      <c r="AN140" s="18">
        <f t="shared" si="5"/>
        <v>8.2305223313747941E-2</v>
      </c>
      <c r="AP140" s="18">
        <f t="shared" si="5"/>
        <v>6.7567307062084815E-4</v>
      </c>
      <c r="AR140" s="18">
        <f t="shared" si="5"/>
        <v>0</v>
      </c>
      <c r="AT140" s="18">
        <f t="shared" si="5"/>
        <v>0</v>
      </c>
      <c r="AV140" s="18">
        <f t="shared" si="5"/>
        <v>0</v>
      </c>
      <c r="AX140" s="18">
        <f t="shared" si="5"/>
        <v>0</v>
      </c>
      <c r="AZ140" s="18">
        <f t="shared" si="5"/>
        <v>0</v>
      </c>
      <c r="BB140" s="18">
        <f t="shared" si="5"/>
        <v>0</v>
      </c>
      <c r="BD140" s="18">
        <f t="shared" si="5"/>
        <v>0</v>
      </c>
      <c r="BF140" s="18">
        <f t="shared" si="5"/>
        <v>0</v>
      </c>
      <c r="BH140" s="18">
        <f t="shared" si="5"/>
        <v>0</v>
      </c>
      <c r="BJ140" s="18">
        <f t="shared" si="5"/>
        <v>0</v>
      </c>
    </row>
    <row r="141" spans="2:62" x14ac:dyDescent="0.3">
      <c r="B141" s="16" t="s">
        <v>97</v>
      </c>
      <c r="D141" s="4">
        <v>0</v>
      </c>
      <c r="F141" s="4">
        <v>30148</v>
      </c>
      <c r="H141" s="4">
        <v>58344</v>
      </c>
      <c r="J141" s="4">
        <v>40758</v>
      </c>
      <c r="L141" s="4">
        <v>33865</v>
      </c>
      <c r="N141" s="17">
        <f>L141-'IS Modelling'!N116</f>
        <v>27648</v>
      </c>
      <c r="O141" s="17"/>
      <c r="P141" s="17">
        <f>N141-'IS Modelling'!P116</f>
        <v>21431</v>
      </c>
      <c r="Q141" s="17"/>
      <c r="R141" s="17">
        <f>P141-'IS Modelling'!R116</f>
        <v>15693</v>
      </c>
      <c r="S141" s="17"/>
      <c r="T141" s="17">
        <f>R141-'IS Modelling'!T116</f>
        <v>10036</v>
      </c>
      <c r="U141" s="17"/>
      <c r="V141" s="17">
        <f>T141-'IS Modelling'!V116</f>
        <v>5018</v>
      </c>
      <c r="W141" s="17"/>
      <c r="X141" s="17">
        <f>V141-'IS Modelling'!X116</f>
        <v>2509</v>
      </c>
      <c r="Y141" s="17"/>
      <c r="Z141" s="17">
        <f>X141-'IS Modelling'!Z116</f>
        <v>0</v>
      </c>
      <c r="AA141" s="17"/>
      <c r="AB141" s="17">
        <f>Z141-'IS Modelling'!AB116</f>
        <v>0</v>
      </c>
      <c r="AC141" s="17"/>
      <c r="AD141" s="17">
        <f>AB141-'IS Modelling'!AD116</f>
        <v>0</v>
      </c>
      <c r="AH141" s="16" t="s">
        <v>97</v>
      </c>
      <c r="AJ141" s="18">
        <f t="shared" si="5"/>
        <v>0</v>
      </c>
      <c r="AL141" s="18">
        <f t="shared" si="5"/>
        <v>4.8111325662671754E-2</v>
      </c>
      <c r="AN141" s="18">
        <f t="shared" si="5"/>
        <v>6.1722570038782898E-2</v>
      </c>
      <c r="AP141" s="18">
        <f t="shared" si="5"/>
        <v>3.9285425124628431E-2</v>
      </c>
      <c r="AR141" s="18">
        <f t="shared" si="5"/>
        <v>3.4908376464136581E-2</v>
      </c>
      <c r="AT141" s="18">
        <f t="shared" si="5"/>
        <v>2.5558455166315785E-2</v>
      </c>
      <c r="AV141" s="18">
        <f t="shared" si="5"/>
        <v>1.7840695497883665E-2</v>
      </c>
      <c r="AX141" s="18">
        <f t="shared" si="5"/>
        <v>1.1744852093290556E-2</v>
      </c>
      <c r="AZ141" s="18">
        <f t="shared" si="5"/>
        <v>6.9493024653282309E-3</v>
      </c>
      <c r="BB141" s="18">
        <f t="shared" si="5"/>
        <v>2.9100952323335011E-3</v>
      </c>
      <c r="BD141" s="18">
        <f t="shared" si="5"/>
        <v>1.3605933140614617E-3</v>
      </c>
      <c r="BF141" s="18">
        <f t="shared" si="5"/>
        <v>0</v>
      </c>
      <c r="BH141" s="18">
        <f t="shared" si="5"/>
        <v>0</v>
      </c>
      <c r="BJ141" s="18">
        <f t="shared" si="5"/>
        <v>0</v>
      </c>
    </row>
    <row r="142" spans="2:62" x14ac:dyDescent="0.3">
      <c r="B142" s="16" t="s">
        <v>98</v>
      </c>
      <c r="D142" s="4">
        <v>5502</v>
      </c>
      <c r="F142" s="4">
        <v>13954</v>
      </c>
      <c r="H142" s="4">
        <v>41984</v>
      </c>
      <c r="J142" s="4">
        <v>41001</v>
      </c>
      <c r="L142" s="4">
        <v>41001</v>
      </c>
      <c r="N142" s="17">
        <f>$L$142</f>
        <v>41001</v>
      </c>
      <c r="O142" s="17"/>
      <c r="P142" s="17">
        <f>$L$142</f>
        <v>41001</v>
      </c>
      <c r="Q142" s="17"/>
      <c r="R142" s="17">
        <f>$L$142</f>
        <v>41001</v>
      </c>
      <c r="S142" s="17"/>
      <c r="T142" s="17">
        <f>$L$142</f>
        <v>41001</v>
      </c>
      <c r="U142" s="17"/>
      <c r="V142" s="17">
        <f>$L$142</f>
        <v>41001</v>
      </c>
      <c r="W142" s="17"/>
      <c r="X142" s="17">
        <f>$L$142</f>
        <v>41001</v>
      </c>
      <c r="Y142" s="17"/>
      <c r="Z142" s="17">
        <f>$L$142</f>
        <v>41001</v>
      </c>
      <c r="AA142" s="17"/>
      <c r="AB142" s="17">
        <f>$L$142</f>
        <v>41001</v>
      </c>
      <c r="AC142" s="17"/>
      <c r="AD142" s="17">
        <f>$L$142</f>
        <v>41001</v>
      </c>
      <c r="AH142" s="16" t="s">
        <v>98</v>
      </c>
      <c r="AJ142" s="18">
        <f t="shared" si="5"/>
        <v>9.7513425376176376E-3</v>
      </c>
      <c r="AL142" s="18">
        <f t="shared" si="5"/>
        <v>2.2268324210459121E-2</v>
      </c>
      <c r="AN142" s="18">
        <f t="shared" si="5"/>
        <v>4.4415199172292974E-2</v>
      </c>
      <c r="AP142" s="18">
        <f t="shared" si="5"/>
        <v>3.9519645604173176E-2</v>
      </c>
      <c r="AR142" s="18">
        <f t="shared" si="5"/>
        <v>4.2264235742095493E-2</v>
      </c>
      <c r="AT142" s="18">
        <f t="shared" si="5"/>
        <v>3.7902279379127372E-2</v>
      </c>
      <c r="AV142" s="18">
        <f t="shared" si="5"/>
        <v>3.4132161640088102E-2</v>
      </c>
      <c r="AX142" s="18">
        <f t="shared" si="5"/>
        <v>3.0685699399541584E-2</v>
      </c>
      <c r="AZ142" s="18">
        <f t="shared" si="5"/>
        <v>2.8390628774504066E-2</v>
      </c>
      <c r="BB142" s="18">
        <f t="shared" si="5"/>
        <v>2.3777762977462313E-2</v>
      </c>
      <c r="BD142" s="18">
        <f t="shared" si="5"/>
        <v>2.2234231355055395E-2</v>
      </c>
      <c r="BF142" s="18">
        <f t="shared" si="5"/>
        <v>2.1696432082464252E-2</v>
      </c>
      <c r="BH142" s="18">
        <f t="shared" si="5"/>
        <v>2.0965411492187211E-2</v>
      </c>
      <c r="BJ142" s="18">
        <f t="shared" si="5"/>
        <v>2.0272073469961235E-2</v>
      </c>
    </row>
    <row r="143" spans="2:62" x14ac:dyDescent="0.3">
      <c r="B143" s="16" t="s">
        <v>99</v>
      </c>
      <c r="D143" s="4">
        <v>11087</v>
      </c>
      <c r="F143" s="4">
        <v>0</v>
      </c>
      <c r="H143" s="4">
        <v>12764</v>
      </c>
      <c r="J143" s="4">
        <v>11286</v>
      </c>
      <c r="L143" s="4">
        <v>6096</v>
      </c>
      <c r="N143" s="17">
        <f>'BS Modelling'!N24*'Financial Statements'!N$10</f>
        <v>12515.9411587537</v>
      </c>
      <c r="O143" s="17"/>
      <c r="P143" s="17">
        <f>'BS Modelling'!P24*'Financial Statements'!P$10</f>
        <v>17040.582529593776</v>
      </c>
      <c r="Q143" s="17"/>
      <c r="R143" s="17">
        <f>'BS Modelling'!R24*'Financial Statements'!R$10</f>
        <v>21499.844657471014</v>
      </c>
      <c r="S143" s="17"/>
      <c r="T143" s="17">
        <f>'BS Modelling'!T24*'Financial Statements'!T$10</f>
        <v>23179.777333192847</v>
      </c>
      <c r="U143" s="17"/>
      <c r="V143" s="17">
        <f>'BS Modelling'!V24*'Financial Statements'!V$10</f>
        <v>25279.473411577492</v>
      </c>
      <c r="W143" s="17"/>
      <c r="X143" s="17">
        <f>'BS Modelling'!X24*'Financial Statements'!X$10</f>
        <v>27505.696660439451</v>
      </c>
      <c r="Y143" s="17"/>
      <c r="Z143" s="17">
        <f>'BS Modelling'!Z24*'Financial Statements'!Z$10</f>
        <v>26014.043202612982</v>
      </c>
      <c r="AA143" s="17"/>
      <c r="AB143" s="17">
        <f>'BS Modelling'!AB24*'Financial Statements'!AB$10</f>
        <v>26425.464170406573</v>
      </c>
      <c r="AC143" s="17"/>
      <c r="AD143" s="17">
        <f>'BS Modelling'!AD24*'Financial Statements'!AD$10</f>
        <v>26962.641089735975</v>
      </c>
      <c r="AH143" s="16" t="s">
        <v>99</v>
      </c>
      <c r="AJ143" s="18">
        <f t="shared" si="5"/>
        <v>1.9649788206936889E-2</v>
      </c>
      <c r="AL143" s="18">
        <f t="shared" si="5"/>
        <v>0</v>
      </c>
      <c r="AN143" s="18">
        <f t="shared" si="5"/>
        <v>1.3503134580677104E-2</v>
      </c>
      <c r="AP143" s="18">
        <f t="shared" si="5"/>
        <v>1.0878240049967035E-2</v>
      </c>
      <c r="AR143" s="18">
        <f t="shared" si="5"/>
        <v>6.2838170065075026E-3</v>
      </c>
      <c r="AT143" s="18">
        <f t="shared" si="5"/>
        <v>1.1570027523518983E-2</v>
      </c>
      <c r="AV143" s="18">
        <f t="shared" si="5"/>
        <v>1.4185798330317705E-2</v>
      </c>
      <c r="AX143" s="18">
        <f t="shared" si="5"/>
        <v>1.6090772671300595E-2</v>
      </c>
      <c r="AZ143" s="18">
        <f t="shared" si="5"/>
        <v>1.6050546409656887E-2</v>
      </c>
      <c r="BB143" s="18">
        <f t="shared" si="5"/>
        <v>1.4660357722386044E-2</v>
      </c>
      <c r="BD143" s="18">
        <f t="shared" si="5"/>
        <v>1.4915929443920522E-2</v>
      </c>
      <c r="BF143" s="18">
        <f t="shared" si="5"/>
        <v>1.3765808676270905E-2</v>
      </c>
      <c r="BH143" s="18">
        <f t="shared" si="5"/>
        <v>1.3512371166669675E-2</v>
      </c>
      <c r="BJ143" s="18">
        <f t="shared" si="5"/>
        <v>1.3331105122200027E-2</v>
      </c>
    </row>
    <row r="144" spans="2:62" x14ac:dyDescent="0.3">
      <c r="B144" s="16" t="s">
        <v>205</v>
      </c>
      <c r="D144" s="4">
        <v>730</v>
      </c>
      <c r="F144" s="4">
        <v>3373</v>
      </c>
      <c r="H144" s="4">
        <v>8216</v>
      </c>
      <c r="J144" s="4">
        <v>2155</v>
      </c>
      <c r="L144" s="4">
        <v>2483</v>
      </c>
      <c r="N144" s="17">
        <f>'BS Modelling'!N25*'Financial Statements'!N$10</f>
        <v>4836.1889151556861</v>
      </c>
      <c r="O144" s="17"/>
      <c r="P144" s="17">
        <f>'BS Modelling'!P25*'Financial Statements'!P$10</f>
        <v>6584.5209155348375</v>
      </c>
      <c r="Q144" s="17"/>
      <c r="R144" s="17">
        <f>'BS Modelling'!R25*'Financial Statements'!R$10</f>
        <v>8307.5902236331913</v>
      </c>
      <c r="S144" s="17"/>
      <c r="T144" s="17">
        <f>'BS Modelling'!T25*'Financial Statements'!T$10</f>
        <v>8956.7201357574177</v>
      </c>
      <c r="U144" s="17"/>
      <c r="V144" s="17">
        <f>'BS Modelling'!V25*'Financial Statements'!V$10</f>
        <v>9768.0476077132553</v>
      </c>
      <c r="W144" s="17"/>
      <c r="X144" s="17">
        <f>'BS Modelling'!X25*'Financial Statements'!X$10</f>
        <v>10628.265474052298</v>
      </c>
      <c r="Y144" s="17"/>
      <c r="Z144" s="17">
        <f>'BS Modelling'!Z25*'Financial Statements'!Z$10</f>
        <v>10051.887091756325</v>
      </c>
      <c r="AA144" s="17"/>
      <c r="AB144" s="17">
        <f>'BS Modelling'!AB25*'Financial Statements'!AB$10</f>
        <v>10210.861115257097</v>
      </c>
      <c r="AC144" s="17"/>
      <c r="AD144" s="17">
        <f>'BS Modelling'!AD25*'Financial Statements'!AD$10</f>
        <v>10418.427532339632</v>
      </c>
      <c r="AH144" s="16" t="s">
        <v>100</v>
      </c>
      <c r="AJ144" s="18">
        <f t="shared" si="5"/>
        <v>1.2937986282189886E-3</v>
      </c>
      <c r="AL144" s="18">
        <f t="shared" si="5"/>
        <v>5.3827617573368658E-3</v>
      </c>
      <c r="AN144" s="18">
        <f t="shared" si="5"/>
        <v>8.691770112413278E-3</v>
      </c>
      <c r="AP144" s="18">
        <f t="shared" si="5"/>
        <v>2.0771404667445474E-3</v>
      </c>
      <c r="AR144" s="18">
        <f t="shared" si="5"/>
        <v>2.5595009230902441E-3</v>
      </c>
      <c r="AT144" s="18">
        <f t="shared" si="5"/>
        <v>4.4706856757754619E-3</v>
      </c>
      <c r="AV144" s="18">
        <f t="shared" si="5"/>
        <v>5.4814256289255382E-3</v>
      </c>
      <c r="AX144" s="18">
        <f t="shared" si="5"/>
        <v>6.2175121664588317E-3</v>
      </c>
      <c r="AZ144" s="18">
        <f t="shared" si="5"/>
        <v>6.2019686449455991E-3</v>
      </c>
      <c r="BB144" s="18">
        <f t="shared" si="5"/>
        <v>5.6647964871289376E-3</v>
      </c>
      <c r="BD144" s="18">
        <f t="shared" si="5"/>
        <v>5.7635499976348451E-3</v>
      </c>
      <c r="BF144" s="18">
        <f t="shared" si="5"/>
        <v>5.3191406450303702E-3</v>
      </c>
      <c r="BH144" s="18">
        <f t="shared" si="5"/>
        <v>5.2212117990034067E-3</v>
      </c>
      <c r="BJ144" s="18">
        <f t="shared" si="5"/>
        <v>5.1511701757775653E-3</v>
      </c>
    </row>
    <row r="145" spans="2:62" ht="29.4" thickBot="1" x14ac:dyDescent="0.35">
      <c r="B145" s="19" t="s">
        <v>101</v>
      </c>
      <c r="C145" s="5"/>
      <c r="D145" s="5">
        <v>0</v>
      </c>
      <c r="E145" s="5"/>
      <c r="F145" s="5">
        <v>0</v>
      </c>
      <c r="G145" s="5"/>
      <c r="H145" s="5">
        <v>0</v>
      </c>
      <c r="I145" s="5"/>
      <c r="J145" s="5">
        <v>76365</v>
      </c>
      <c r="K145" s="5"/>
      <c r="L145" s="5">
        <v>0</v>
      </c>
      <c r="M145" s="5"/>
      <c r="N145" s="20">
        <f>'BS Modelling'!N26*'Financial Statements'!N$10</f>
        <v>0</v>
      </c>
      <c r="O145" s="20"/>
      <c r="P145" s="20">
        <f>'BS Modelling'!P26*'Financial Statements'!P$10</f>
        <v>0</v>
      </c>
      <c r="Q145" s="20"/>
      <c r="R145" s="20">
        <f>'BS Modelling'!R26*'Financial Statements'!R$10</f>
        <v>0</v>
      </c>
      <c r="S145" s="20"/>
      <c r="T145" s="20">
        <f>'BS Modelling'!T26*'Financial Statements'!T$10</f>
        <v>0</v>
      </c>
      <c r="U145" s="20"/>
      <c r="V145" s="20">
        <f>'BS Modelling'!V26*'Financial Statements'!V$10</f>
        <v>0</v>
      </c>
      <c r="W145" s="20"/>
      <c r="X145" s="20">
        <f>'BS Modelling'!X26*'Financial Statements'!X$10</f>
        <v>0</v>
      </c>
      <c r="Y145" s="20"/>
      <c r="Z145" s="20">
        <f>'BS Modelling'!Z26*'Financial Statements'!Z$10</f>
        <v>0</v>
      </c>
      <c r="AA145" s="20"/>
      <c r="AB145" s="20">
        <f>'BS Modelling'!AB26*'Financial Statements'!AB$10</f>
        <v>0</v>
      </c>
      <c r="AC145" s="20"/>
      <c r="AD145" s="20">
        <f>'BS Modelling'!AD26*'Financial Statements'!AD$10</f>
        <v>0</v>
      </c>
      <c r="AH145" s="16" t="s">
        <v>101</v>
      </c>
      <c r="AJ145" s="18">
        <f t="shared" si="5"/>
        <v>0</v>
      </c>
      <c r="AL145" s="18">
        <f t="shared" si="5"/>
        <v>0</v>
      </c>
      <c r="AN145" s="18">
        <f t="shared" si="5"/>
        <v>0</v>
      </c>
      <c r="AP145" s="18">
        <f t="shared" si="5"/>
        <v>7.3605954405079985E-2</v>
      </c>
      <c r="AR145" s="18">
        <f t="shared" si="5"/>
        <v>0</v>
      </c>
      <c r="AT145" s="18">
        <f t="shared" si="5"/>
        <v>0</v>
      </c>
      <c r="AV145" s="18">
        <f t="shared" si="5"/>
        <v>0</v>
      </c>
      <c r="AX145" s="18">
        <f t="shared" si="5"/>
        <v>0</v>
      </c>
      <c r="AZ145" s="18">
        <f t="shared" si="5"/>
        <v>0</v>
      </c>
      <c r="BB145" s="18">
        <f t="shared" si="5"/>
        <v>0</v>
      </c>
      <c r="BD145" s="18">
        <f t="shared" si="5"/>
        <v>0</v>
      </c>
      <c r="BF145" s="18">
        <f t="shared" si="5"/>
        <v>0</v>
      </c>
      <c r="BH145" s="18">
        <f t="shared" si="5"/>
        <v>0</v>
      </c>
      <c r="BJ145" s="18">
        <f t="shared" si="5"/>
        <v>0</v>
      </c>
    </row>
    <row r="146" spans="2:62" s="6" customFormat="1" x14ac:dyDescent="0.3">
      <c r="B146" s="15" t="s">
        <v>102</v>
      </c>
      <c r="D146" s="6">
        <f>SUM(D139:D145,D137)</f>
        <v>564230</v>
      </c>
      <c r="F146" s="6">
        <f>SUM(F139:F145,F137)</f>
        <v>626630</v>
      </c>
      <c r="H146" s="6">
        <f>SUM(H139:H145,H137)</f>
        <v>945262</v>
      </c>
      <c r="J146" s="6">
        <f>SUM(J139:J145,J137)</f>
        <v>1037484</v>
      </c>
      <c r="L146" s="6">
        <f>SUM(L139:L145,L137)</f>
        <v>970111</v>
      </c>
      <c r="N146" s="21">
        <f>SUM(N139:N145,N137)</f>
        <v>1081755.5216106365</v>
      </c>
      <c r="O146" s="21"/>
      <c r="P146" s="21">
        <f>SUM(P139:P145,P137)</f>
        <v>1201242.4068636915</v>
      </c>
      <c r="Q146" s="21"/>
      <c r="R146" s="21">
        <f>SUM(R139:R145,R137)</f>
        <v>1336159.8660714417</v>
      </c>
      <c r="S146" s="21"/>
      <c r="T146" s="21">
        <f>SUM(T139:T145,T137)</f>
        <v>1444173.721042084</v>
      </c>
      <c r="U146" s="21"/>
      <c r="V146" s="21">
        <f>SUM(V139:V145,V137)</f>
        <v>1724342.1948003555</v>
      </c>
      <c r="W146" s="21"/>
      <c r="X146" s="21">
        <f>SUM(X139:X145,X137)</f>
        <v>1844048.4559713644</v>
      </c>
      <c r="Y146" s="21"/>
      <c r="Z146" s="21">
        <f>SUM(Z139:Z145,Z137)</f>
        <v>1889757.718880346</v>
      </c>
      <c r="AA146" s="21"/>
      <c r="AB146" s="21">
        <f>SUM(AB139:AB145,AB137)</f>
        <v>1955649.6668467049</v>
      </c>
      <c r="AC146" s="21"/>
      <c r="AD146" s="21">
        <f>SUM(AD139:AD145,AD137)</f>
        <v>2022536.0795359432</v>
      </c>
      <c r="AH146" s="15" t="s">
        <v>102</v>
      </c>
      <c r="AJ146" s="18">
        <f t="shared" si="5"/>
        <v>1</v>
      </c>
      <c r="AL146" s="18">
        <f t="shared" si="5"/>
        <v>1</v>
      </c>
      <c r="AN146" s="18">
        <f t="shared" si="5"/>
        <v>1</v>
      </c>
      <c r="AP146" s="18">
        <f t="shared" si="5"/>
        <v>1</v>
      </c>
      <c r="AR146" s="18">
        <f t="shared" si="5"/>
        <v>1</v>
      </c>
      <c r="AT146" s="18">
        <f t="shared" si="5"/>
        <v>1</v>
      </c>
      <c r="AV146" s="18">
        <f t="shared" si="5"/>
        <v>1</v>
      </c>
      <c r="AX146" s="18">
        <f t="shared" si="5"/>
        <v>1</v>
      </c>
      <c r="AZ146" s="18">
        <f t="shared" si="5"/>
        <v>1</v>
      </c>
      <c r="BB146" s="18">
        <f t="shared" si="5"/>
        <v>1</v>
      </c>
      <c r="BD146" s="18">
        <f t="shared" si="5"/>
        <v>1</v>
      </c>
      <c r="BF146" s="18">
        <f t="shared" si="5"/>
        <v>1</v>
      </c>
      <c r="BH146" s="18">
        <f t="shared" si="5"/>
        <v>1</v>
      </c>
      <c r="BJ146" s="18">
        <f t="shared" si="5"/>
        <v>1</v>
      </c>
    </row>
    <row r="147" spans="2:62" x14ac:dyDescent="0.3"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</row>
    <row r="148" spans="2:62" s="6" customFormat="1" ht="29.4" thickBot="1" x14ac:dyDescent="0.35">
      <c r="B148" s="14" t="s">
        <v>103</v>
      </c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H148" s="15" t="s">
        <v>103</v>
      </c>
    </row>
    <row r="149" spans="2:62" s="6" customFormat="1" x14ac:dyDescent="0.3">
      <c r="B149" s="15" t="s">
        <v>104</v>
      </c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H149" s="15" t="s">
        <v>104</v>
      </c>
    </row>
    <row r="150" spans="2:62" x14ac:dyDescent="0.3">
      <c r="B150" s="16" t="s">
        <v>59</v>
      </c>
      <c r="D150" s="4">
        <v>31297</v>
      </c>
      <c r="F150" s="4">
        <v>27521</v>
      </c>
      <c r="H150" s="4">
        <v>40930</v>
      </c>
      <c r="J150" s="4">
        <v>37970</v>
      </c>
      <c r="L150" s="4">
        <v>34649</v>
      </c>
      <c r="N150" s="17">
        <f>N13/'BS Modelling'!N12</f>
        <v>51036.669325659692</v>
      </c>
      <c r="O150" s="17"/>
      <c r="P150" s="17">
        <f>P13/'BS Modelling'!P12</f>
        <v>69486.949854444087</v>
      </c>
      <c r="Q150" s="17"/>
      <c r="R150" s="17">
        <f>R13/'BS Modelling'!R12</f>
        <v>87670.631270821919</v>
      </c>
      <c r="S150" s="17"/>
      <c r="T150" s="17">
        <f>T13/'BS Modelling'!T12</f>
        <v>94520.948587967519</v>
      </c>
      <c r="U150" s="17"/>
      <c r="V150" s="17">
        <f>V13/'BS Modelling'!V12</f>
        <v>103082.94908618432</v>
      </c>
      <c r="W150" s="17"/>
      <c r="X150" s="17">
        <f>X13/'BS Modelling'!X12</f>
        <v>112160.89363355048</v>
      </c>
      <c r="Y150" s="17"/>
      <c r="Z150" s="17">
        <f>Z13/'BS Modelling'!Z12</f>
        <v>106078.32874211029</v>
      </c>
      <c r="AA150" s="17"/>
      <c r="AB150" s="17">
        <f>AB13/'BS Modelling'!AB12</f>
        <v>107755.99369919093</v>
      </c>
      <c r="AC150" s="17"/>
      <c r="AD150" s="17">
        <f>AD13/'BS Modelling'!AD12</f>
        <v>109946.45788030581</v>
      </c>
      <c r="AH150" s="16" t="s">
        <v>59</v>
      </c>
      <c r="AJ150" s="18">
        <f t="shared" ref="AJ150:BJ161" si="6">D150/D$146</f>
        <v>5.5468514612835189E-2</v>
      </c>
      <c r="AL150" s="18">
        <f t="shared" si="6"/>
        <v>4.3919059093883155E-2</v>
      </c>
      <c r="AN150" s="18">
        <f t="shared" si="6"/>
        <v>4.3300164398865075E-2</v>
      </c>
      <c r="AP150" s="18">
        <f t="shared" si="6"/>
        <v>3.6598154766724116E-2</v>
      </c>
      <c r="AR150" s="18">
        <f t="shared" si="6"/>
        <v>3.5716531407230717E-2</v>
      </c>
      <c r="AT150" s="18">
        <f t="shared" si="6"/>
        <v>4.717948585062056E-2</v>
      </c>
      <c r="AV150" s="18">
        <f t="shared" si="6"/>
        <v>5.7845901424564819E-2</v>
      </c>
      <c r="AX150" s="18">
        <f t="shared" si="6"/>
        <v>6.5613878621118796E-2</v>
      </c>
      <c r="AZ150" s="18">
        <f t="shared" si="6"/>
        <v>6.544984665678813E-2</v>
      </c>
      <c r="BB150" s="18">
        <f t="shared" si="6"/>
        <v>5.9781028033196904E-2</v>
      </c>
      <c r="BD150" s="18">
        <f t="shared" si="6"/>
        <v>6.0823181337970322E-2</v>
      </c>
      <c r="BF150" s="18">
        <f t="shared" si="6"/>
        <v>5.6133295650703921E-2</v>
      </c>
      <c r="BH150" s="18">
        <f t="shared" si="6"/>
        <v>5.5099845092877499E-2</v>
      </c>
      <c r="BJ150" s="18">
        <f t="shared" si="6"/>
        <v>5.4360690517586345E-2</v>
      </c>
    </row>
    <row r="151" spans="2:62" ht="28.8" x14ac:dyDescent="0.3">
      <c r="B151" s="16" t="s">
        <v>105</v>
      </c>
      <c r="D151" s="4">
        <v>1488</v>
      </c>
      <c r="F151" s="4">
        <v>1252</v>
      </c>
      <c r="H151" s="4">
        <v>6274</v>
      </c>
      <c r="J151" s="4">
        <v>6207</v>
      </c>
      <c r="L151" s="4">
        <v>6368</v>
      </c>
      <c r="N151" s="17">
        <f>'BS Modelling'!N28*'Financial Statements'!N$10</f>
        <v>7690.2530435570998</v>
      </c>
      <c r="O151" s="17"/>
      <c r="P151" s="17">
        <f>'BS Modelling'!P28*'Financial Statements'!P$10</f>
        <v>10470.358561133065</v>
      </c>
      <c r="Q151" s="17"/>
      <c r="R151" s="17">
        <f>'BS Modelling'!R28*'Financial Statements'!R$10</f>
        <v>13210.292675232209</v>
      </c>
      <c r="S151" s="17"/>
      <c r="T151" s="17">
        <f>'BS Modelling'!T28*'Financial Statements'!T$10</f>
        <v>14242.504892321867</v>
      </c>
      <c r="U151" s="17"/>
      <c r="V151" s="17">
        <f>'BS Modelling'!V28*'Financial Statements'!V$10</f>
        <v>15532.635131233144</v>
      </c>
      <c r="W151" s="17"/>
      <c r="X151" s="17">
        <f>'BS Modelling'!X28*'Financial Statements'!X$10</f>
        <v>16900.508301779679</v>
      </c>
      <c r="Y151" s="17"/>
      <c r="Z151" s="17">
        <f>'BS Modelling'!Z28*'Financial Statements'!Z$10</f>
        <v>15983.981737897624</v>
      </c>
      <c r="AA151" s="17"/>
      <c r="AB151" s="17">
        <f>'BS Modelling'!AB28*'Financial Statements'!AB$10</f>
        <v>16236.773861927788</v>
      </c>
      <c r="AC151" s="17"/>
      <c r="AD151" s="17">
        <f>'BS Modelling'!AD28*'Financial Statements'!AD$10</f>
        <v>16566.835052405047</v>
      </c>
      <c r="AH151" s="16" t="s">
        <v>105</v>
      </c>
      <c r="AJ151" s="18">
        <f t="shared" si="6"/>
        <v>2.6372224093011713E-3</v>
      </c>
      <c r="AL151" s="18">
        <f t="shared" si="6"/>
        <v>1.9979892440515137E-3</v>
      </c>
      <c r="AN151" s="18">
        <f t="shared" si="6"/>
        <v>6.6373132528336062E-3</v>
      </c>
      <c r="AP151" s="18">
        <f t="shared" si="6"/>
        <v>5.9827428663960123E-3</v>
      </c>
      <c r="AR151" s="18">
        <f t="shared" si="6"/>
        <v>6.5641972928871025E-3</v>
      </c>
      <c r="AT151" s="18">
        <f t="shared" si="6"/>
        <v>7.1090490318061941E-3</v>
      </c>
      <c r="AV151" s="18">
        <f t="shared" si="6"/>
        <v>8.7162745015554287E-3</v>
      </c>
      <c r="AX151" s="18">
        <f t="shared" si="6"/>
        <v>9.8867605671115726E-3</v>
      </c>
      <c r="AZ151" s="18">
        <f t="shared" si="6"/>
        <v>9.8620440773875793E-3</v>
      </c>
      <c r="BB151" s="18">
        <f t="shared" si="6"/>
        <v>9.0078611879189762E-3</v>
      </c>
      <c r="BD151" s="18">
        <f t="shared" si="6"/>
        <v>9.164893822097113E-3</v>
      </c>
      <c r="BF151" s="18">
        <f t="shared" si="6"/>
        <v>8.4582174625898073E-3</v>
      </c>
      <c r="BH151" s="18">
        <f t="shared" si="6"/>
        <v>8.3024961664570577E-3</v>
      </c>
      <c r="BJ151" s="18">
        <f t="shared" si="6"/>
        <v>8.1911196640834169E-3</v>
      </c>
    </row>
    <row r="152" spans="2:62" x14ac:dyDescent="0.3">
      <c r="B152" s="16" t="s">
        <v>61</v>
      </c>
      <c r="D152" s="4">
        <v>22726</v>
      </c>
      <c r="F152" s="4">
        <v>24615</v>
      </c>
      <c r="H152" s="4">
        <v>31654</v>
      </c>
      <c r="J152" s="4">
        <v>31998</v>
      </c>
      <c r="L152" s="4">
        <v>34537</v>
      </c>
      <c r="N152" s="17">
        <f>'BS Modelling'!N29*'Financial Statements'!N$10</f>
        <v>41947.595756091061</v>
      </c>
      <c r="O152" s="17"/>
      <c r="P152" s="17">
        <f>'BS Modelling'!P29*'Financial Statements'!P$10</f>
        <v>57112.082769721666</v>
      </c>
      <c r="Q152" s="17"/>
      <c r="R152" s="17">
        <f>'BS Modelling'!R29*'Financial Statements'!R$10</f>
        <v>72057.449062037093</v>
      </c>
      <c r="S152" s="17"/>
      <c r="T152" s="17">
        <f>'BS Modelling'!T29*'Financial Statements'!T$10</f>
        <v>77687.799659310505</v>
      </c>
      <c r="U152" s="17"/>
      <c r="V152" s="17">
        <f>'BS Modelling'!V29*'Financial Statements'!V$10</f>
        <v>84725.001351899729</v>
      </c>
      <c r="W152" s="17"/>
      <c r="X152" s="17">
        <f>'BS Modelling'!X29*'Financial Statements'!X$10</f>
        <v>92186.263091753761</v>
      </c>
      <c r="Y152" s="17"/>
      <c r="Z152" s="17">
        <f>'BS Modelling'!Z29*'Financial Statements'!Z$10</f>
        <v>87186.936595774052</v>
      </c>
      <c r="AA152" s="17"/>
      <c r="AB152" s="17">
        <f>'BS Modelling'!AB29*'Financial Statements'!AB$10</f>
        <v>88565.827741368412</v>
      </c>
      <c r="AC152" s="17"/>
      <c r="AD152" s="17">
        <f>'BS Modelling'!AD29*'Financial Statements'!AD$10</f>
        <v>90366.194168129077</v>
      </c>
      <c r="AH152" s="16" t="s">
        <v>61</v>
      </c>
      <c r="AJ152" s="18">
        <f t="shared" si="6"/>
        <v>4.0277900856033888E-2</v>
      </c>
      <c r="AL152" s="18">
        <f t="shared" si="6"/>
        <v>3.9281553707929719E-2</v>
      </c>
      <c r="AN152" s="18">
        <f t="shared" si="6"/>
        <v>3.3487012066495847E-2</v>
      </c>
      <c r="AP152" s="18">
        <f t="shared" si="6"/>
        <v>3.0841921417583306E-2</v>
      </c>
      <c r="AR152" s="18">
        <f t="shared" si="6"/>
        <v>3.5601080701074414E-2</v>
      </c>
      <c r="AT152" s="18">
        <f t="shared" si="6"/>
        <v>3.8777334543793104E-2</v>
      </c>
      <c r="AV152" s="18">
        <f t="shared" si="6"/>
        <v>4.7544177963908946E-2</v>
      </c>
      <c r="AX152" s="18">
        <f t="shared" si="6"/>
        <v>5.3928763235419862E-2</v>
      </c>
      <c r="AZ152" s="18">
        <f t="shared" si="6"/>
        <v>5.3793943572974512E-2</v>
      </c>
      <c r="BB152" s="18">
        <f t="shared" si="6"/>
        <v>4.913467965197546E-2</v>
      </c>
      <c r="BD152" s="18">
        <f t="shared" si="6"/>
        <v>4.9991236831785989E-2</v>
      </c>
      <c r="BF152" s="18">
        <f t="shared" si="6"/>
        <v>4.6136568579506078E-2</v>
      </c>
      <c r="BH152" s="18">
        <f t="shared" si="6"/>
        <v>4.5287164282431118E-2</v>
      </c>
      <c r="BJ152" s="18">
        <f t="shared" si="6"/>
        <v>4.467964506663484E-2</v>
      </c>
    </row>
    <row r="153" spans="2:62" x14ac:dyDescent="0.3">
      <c r="B153" s="16" t="s">
        <v>106</v>
      </c>
      <c r="D153" s="4">
        <v>0</v>
      </c>
      <c r="F153" s="4">
        <v>0</v>
      </c>
      <c r="H153" s="4">
        <v>0</v>
      </c>
      <c r="J153" s="4">
        <v>0</v>
      </c>
      <c r="L153" s="4">
        <v>20000</v>
      </c>
      <c r="N153" s="17">
        <f>'BS Modelling'!N30*'Financial Statements'!N$10</f>
        <v>0</v>
      </c>
      <c r="O153" s="17"/>
      <c r="P153" s="17">
        <f>'BS Modelling'!P30*'Financial Statements'!P$10</f>
        <v>0</v>
      </c>
      <c r="Q153" s="17"/>
      <c r="R153" s="17">
        <f>'BS Modelling'!R30*'Financial Statements'!R$10</f>
        <v>0</v>
      </c>
      <c r="S153" s="17"/>
      <c r="T153" s="17">
        <f>'BS Modelling'!T30*'Financial Statements'!T$10</f>
        <v>0</v>
      </c>
      <c r="U153" s="17"/>
      <c r="V153" s="17">
        <f>'BS Modelling'!V30*'Financial Statements'!V$10</f>
        <v>0</v>
      </c>
      <c r="W153" s="17"/>
      <c r="X153" s="17">
        <f>'BS Modelling'!X30*'Financial Statements'!X$10</f>
        <v>0</v>
      </c>
      <c r="Y153" s="17"/>
      <c r="Z153" s="17">
        <f>'BS Modelling'!Z30*'Financial Statements'!Z$10</f>
        <v>0</v>
      </c>
      <c r="AA153" s="17"/>
      <c r="AB153" s="17">
        <f>'BS Modelling'!AB30*'Financial Statements'!AB$10</f>
        <v>0</v>
      </c>
      <c r="AC153" s="17"/>
      <c r="AD153" s="17">
        <f>'BS Modelling'!AD30*'Financial Statements'!AD$10</f>
        <v>0</v>
      </c>
      <c r="AH153" s="16" t="s">
        <v>106</v>
      </c>
      <c r="AJ153" s="18">
        <f t="shared" si="6"/>
        <v>0</v>
      </c>
      <c r="AL153" s="18">
        <f t="shared" si="6"/>
        <v>0</v>
      </c>
      <c r="AN153" s="18">
        <f t="shared" si="6"/>
        <v>0</v>
      </c>
      <c r="AP153" s="18">
        <f t="shared" si="6"/>
        <v>0</v>
      </c>
      <c r="AR153" s="18">
        <f t="shared" si="6"/>
        <v>2.0616197527911755E-2</v>
      </c>
      <c r="AT153" s="18">
        <f t="shared" si="6"/>
        <v>0</v>
      </c>
      <c r="AV153" s="18">
        <f t="shared" si="6"/>
        <v>0</v>
      </c>
      <c r="AX153" s="18">
        <f t="shared" si="6"/>
        <v>0</v>
      </c>
      <c r="AZ153" s="18">
        <f t="shared" si="6"/>
        <v>0</v>
      </c>
      <c r="BB153" s="18">
        <f t="shared" si="6"/>
        <v>0</v>
      </c>
      <c r="BD153" s="18">
        <f t="shared" si="6"/>
        <v>0</v>
      </c>
      <c r="BF153" s="18">
        <f t="shared" si="6"/>
        <v>0</v>
      </c>
      <c r="BH153" s="18">
        <f t="shared" si="6"/>
        <v>0</v>
      </c>
      <c r="BJ153" s="18">
        <f t="shared" si="6"/>
        <v>0</v>
      </c>
    </row>
    <row r="154" spans="2:62" ht="28.8" x14ac:dyDescent="0.3">
      <c r="B154" s="16" t="s">
        <v>107</v>
      </c>
      <c r="D154" s="4">
        <v>0</v>
      </c>
      <c r="F154" s="4">
        <v>1341</v>
      </c>
      <c r="H154" s="4">
        <v>6487</v>
      </c>
      <c r="J154" s="4">
        <v>2109</v>
      </c>
      <c r="L154" s="4">
        <v>3266</v>
      </c>
      <c r="N154" s="17">
        <f>'BS Modelling'!N31*'Financial Statements'!N$10</f>
        <v>3505.3360124341148</v>
      </c>
      <c r="O154" s="17"/>
      <c r="P154" s="17">
        <f>'BS Modelling'!P31*'Financial Statements'!P$10</f>
        <v>4772.5510096428679</v>
      </c>
      <c r="Q154" s="17"/>
      <c r="R154" s="17">
        <f>'BS Modelling'!R31*'Financial Statements'!R$10</f>
        <v>6021.4552612259877</v>
      </c>
      <c r="S154" s="17"/>
      <c r="T154" s="17">
        <f>'BS Modelling'!T31*'Financial Statements'!T$10</f>
        <v>6491.9535187664487</v>
      </c>
      <c r="U154" s="17"/>
      <c r="V154" s="17">
        <f>'BS Modelling'!V31*'Financial Statements'!V$10</f>
        <v>7080.0147908171448</v>
      </c>
      <c r="W154" s="17"/>
      <c r="X154" s="17">
        <f>'BS Modelling'!X31*'Financial Statements'!X$10</f>
        <v>7703.5124908279822</v>
      </c>
      <c r="Y154" s="17"/>
      <c r="Z154" s="17">
        <f>'BS Modelling'!Z31*'Financial Statements'!Z$10</f>
        <v>7285.7455392684506</v>
      </c>
      <c r="AA154" s="17"/>
      <c r="AB154" s="17">
        <f>'BS Modelling'!AB31*'Financial Statements'!AB$10</f>
        <v>7400.9720904630221</v>
      </c>
      <c r="AC154" s="17"/>
      <c r="AD154" s="17">
        <f>'BS Modelling'!AD31*'Financial Statements'!AD$10</f>
        <v>7551.4190745523338</v>
      </c>
      <c r="AH154" s="16" t="s">
        <v>107</v>
      </c>
      <c r="AJ154" s="18">
        <f t="shared" si="6"/>
        <v>0</v>
      </c>
      <c r="AL154" s="18">
        <f t="shared" si="6"/>
        <v>2.1400188308890412E-3</v>
      </c>
      <c r="AN154" s="18">
        <f t="shared" si="6"/>
        <v>6.8626476045794711E-3</v>
      </c>
      <c r="AP154" s="18">
        <f t="shared" si="6"/>
        <v>2.0328024335796984E-3</v>
      </c>
      <c r="AR154" s="18">
        <f t="shared" si="6"/>
        <v>3.3666250563079893E-3</v>
      </c>
      <c r="AT154" s="18">
        <f t="shared" si="6"/>
        <v>3.24041425479852E-3</v>
      </c>
      <c r="AV154" s="18">
        <f t="shared" si="6"/>
        <v>3.9730124264455999E-3</v>
      </c>
      <c r="AX154" s="18">
        <f t="shared" si="6"/>
        <v>4.5065380379446553E-3</v>
      </c>
      <c r="AZ154" s="18">
        <f t="shared" si="6"/>
        <v>4.4952718805061744E-3</v>
      </c>
      <c r="BB154" s="18">
        <f t="shared" si="6"/>
        <v>4.1059221378253576E-3</v>
      </c>
      <c r="BD154" s="18">
        <f t="shared" si="6"/>
        <v>4.1775000357949423E-3</v>
      </c>
      <c r="BF154" s="18">
        <f t="shared" si="6"/>
        <v>3.8553860457758303E-3</v>
      </c>
      <c r="BH154" s="18">
        <f t="shared" si="6"/>
        <v>3.7844058759237643E-3</v>
      </c>
      <c r="BJ154" s="18">
        <f t="shared" si="6"/>
        <v>3.7336387473913216E-3</v>
      </c>
    </row>
    <row r="155" spans="2:62" x14ac:dyDescent="0.3">
      <c r="B155" s="16" t="s">
        <v>152</v>
      </c>
      <c r="D155" s="4">
        <v>115</v>
      </c>
      <c r="F155" s="4">
        <v>0</v>
      </c>
      <c r="H155" s="4">
        <v>0</v>
      </c>
      <c r="J155" s="4">
        <v>0</v>
      </c>
      <c r="L155" s="4">
        <v>0</v>
      </c>
      <c r="N155" s="17">
        <f>'BS Modelling'!N32*'Financial Statements'!N$10</f>
        <v>0</v>
      </c>
      <c r="O155" s="17"/>
      <c r="P155" s="17">
        <f>'BS Modelling'!P32*'Financial Statements'!P$10</f>
        <v>0</v>
      </c>
      <c r="Q155" s="17"/>
      <c r="R155" s="17">
        <f>'BS Modelling'!R32*'Financial Statements'!R$10</f>
        <v>0</v>
      </c>
      <c r="S155" s="17"/>
      <c r="T155" s="17">
        <f>'BS Modelling'!T32*'Financial Statements'!T$10</f>
        <v>0</v>
      </c>
      <c r="U155" s="17"/>
      <c r="V155" s="17">
        <f>'BS Modelling'!V32*'Financial Statements'!V$10</f>
        <v>0</v>
      </c>
      <c r="W155" s="17"/>
      <c r="X155" s="17">
        <f>'BS Modelling'!X32*'Financial Statements'!X$10</f>
        <v>0</v>
      </c>
      <c r="Y155" s="17"/>
      <c r="Z155" s="17">
        <f>'BS Modelling'!Z32*'Financial Statements'!Z$10</f>
        <v>0</v>
      </c>
      <c r="AA155" s="17"/>
      <c r="AB155" s="17">
        <f>'BS Modelling'!AB32*'Financial Statements'!AB$10</f>
        <v>0</v>
      </c>
      <c r="AC155" s="17"/>
      <c r="AD155" s="17">
        <f>'BS Modelling'!AD32*'Financial Statements'!AD$10</f>
        <v>0</v>
      </c>
      <c r="AH155" s="16" t="s">
        <v>152</v>
      </c>
      <c r="AJ155" s="18">
        <f t="shared" si="6"/>
        <v>2.0381759211669001E-4</v>
      </c>
      <c r="AL155" s="18">
        <f t="shared" si="6"/>
        <v>0</v>
      </c>
      <c r="AN155" s="18">
        <f t="shared" si="6"/>
        <v>0</v>
      </c>
      <c r="AP155" s="18">
        <f t="shared" si="6"/>
        <v>0</v>
      </c>
      <c r="AR155" s="18">
        <f t="shared" si="6"/>
        <v>0</v>
      </c>
      <c r="AT155" s="18">
        <f t="shared" si="6"/>
        <v>0</v>
      </c>
      <c r="AV155" s="18">
        <f t="shared" si="6"/>
        <v>0</v>
      </c>
      <c r="AX155" s="18">
        <f t="shared" si="6"/>
        <v>0</v>
      </c>
      <c r="AZ155" s="18">
        <f t="shared" si="6"/>
        <v>0</v>
      </c>
      <c r="BB155" s="18">
        <f t="shared" si="6"/>
        <v>0</v>
      </c>
      <c r="BD155" s="18">
        <f t="shared" si="6"/>
        <v>0</v>
      </c>
      <c r="BF155" s="18">
        <f t="shared" si="6"/>
        <v>0</v>
      </c>
      <c r="BH155" s="18">
        <f t="shared" si="6"/>
        <v>0</v>
      </c>
      <c r="BJ155" s="18">
        <f t="shared" si="6"/>
        <v>0</v>
      </c>
    </row>
    <row r="156" spans="2:62" x14ac:dyDescent="0.3">
      <c r="B156" s="16" t="s">
        <v>62</v>
      </c>
      <c r="D156" s="4">
        <v>0</v>
      </c>
      <c r="F156" s="4">
        <v>0</v>
      </c>
      <c r="H156" s="4">
        <v>2246</v>
      </c>
      <c r="J156" s="4">
        <v>0</v>
      </c>
      <c r="L156" s="4">
        <v>0</v>
      </c>
      <c r="N156" s="17">
        <f>'BS Modelling'!N33*'Financial Statements'!N$10</f>
        <v>0</v>
      </c>
      <c r="O156" s="17"/>
      <c r="P156" s="17">
        <f>'BS Modelling'!P33*'Financial Statements'!P$10</f>
        <v>0</v>
      </c>
      <c r="Q156" s="17"/>
      <c r="R156" s="17">
        <f>'BS Modelling'!R33*'Financial Statements'!R$10</f>
        <v>0</v>
      </c>
      <c r="S156" s="17"/>
      <c r="T156" s="17">
        <f>'BS Modelling'!T33*'Financial Statements'!T$10</f>
        <v>0</v>
      </c>
      <c r="U156" s="17"/>
      <c r="V156" s="17">
        <f>'BS Modelling'!V33*'Financial Statements'!V$10</f>
        <v>0</v>
      </c>
      <c r="W156" s="17"/>
      <c r="X156" s="17">
        <f>'BS Modelling'!X33*'Financial Statements'!X$10</f>
        <v>0</v>
      </c>
      <c r="Y156" s="17"/>
      <c r="Z156" s="17">
        <f>'BS Modelling'!Z33*'Financial Statements'!Z$10</f>
        <v>0</v>
      </c>
      <c r="AA156" s="17"/>
      <c r="AB156" s="17">
        <f>'BS Modelling'!AB33*'Financial Statements'!AB$10</f>
        <v>0</v>
      </c>
      <c r="AC156" s="17"/>
      <c r="AD156" s="17">
        <f>'BS Modelling'!AD33*'Financial Statements'!AD$10</f>
        <v>0</v>
      </c>
      <c r="AH156" s="16" t="s">
        <v>62</v>
      </c>
      <c r="AJ156" s="18">
        <f t="shared" si="6"/>
        <v>0</v>
      </c>
      <c r="AL156" s="18">
        <f t="shared" si="6"/>
        <v>0</v>
      </c>
      <c r="AN156" s="18">
        <f t="shared" si="6"/>
        <v>2.3760608170010009E-3</v>
      </c>
      <c r="AP156" s="18">
        <f t="shared" si="6"/>
        <v>0</v>
      </c>
      <c r="AR156" s="18">
        <f t="shared" si="6"/>
        <v>0</v>
      </c>
      <c r="AT156" s="18">
        <f t="shared" si="6"/>
        <v>0</v>
      </c>
      <c r="AV156" s="18">
        <f t="shared" si="6"/>
        <v>0</v>
      </c>
      <c r="AX156" s="18">
        <f t="shared" si="6"/>
        <v>0</v>
      </c>
      <c r="AZ156" s="18">
        <f t="shared" si="6"/>
        <v>0</v>
      </c>
      <c r="BB156" s="18">
        <f t="shared" si="6"/>
        <v>0</v>
      </c>
      <c r="BD156" s="18">
        <f t="shared" si="6"/>
        <v>0</v>
      </c>
      <c r="BF156" s="18">
        <f t="shared" si="6"/>
        <v>0</v>
      </c>
      <c r="BH156" s="18">
        <f t="shared" si="6"/>
        <v>0</v>
      </c>
      <c r="BJ156" s="18">
        <f t="shared" si="6"/>
        <v>0</v>
      </c>
    </row>
    <row r="157" spans="2:62" x14ac:dyDescent="0.3">
      <c r="B157" s="16" t="s">
        <v>149</v>
      </c>
      <c r="D157" s="4">
        <v>0</v>
      </c>
      <c r="F157" s="4">
        <v>88</v>
      </c>
      <c r="H157" s="4">
        <v>0</v>
      </c>
      <c r="J157" s="4">
        <v>0</v>
      </c>
      <c r="L157" s="4">
        <v>0</v>
      </c>
      <c r="N157" s="17">
        <f>'BS Modelling'!N34*'Financial Statements'!N$10</f>
        <v>0</v>
      </c>
      <c r="O157" s="17"/>
      <c r="P157" s="17">
        <f>'BS Modelling'!P34*'Financial Statements'!P$10</f>
        <v>0</v>
      </c>
      <c r="Q157" s="17"/>
      <c r="R157" s="17">
        <f>'BS Modelling'!R34*'Financial Statements'!R$10</f>
        <v>0</v>
      </c>
      <c r="S157" s="17"/>
      <c r="T157" s="17">
        <f>'BS Modelling'!T34*'Financial Statements'!T$10</f>
        <v>0</v>
      </c>
      <c r="U157" s="17"/>
      <c r="V157" s="17">
        <f>'BS Modelling'!V34*'Financial Statements'!V$10</f>
        <v>0</v>
      </c>
      <c r="W157" s="17"/>
      <c r="X157" s="17">
        <f>'BS Modelling'!X34*'Financial Statements'!X$10</f>
        <v>0</v>
      </c>
      <c r="Y157" s="17"/>
      <c r="Z157" s="17">
        <f>'BS Modelling'!Z34*'Financial Statements'!Z$10</f>
        <v>0</v>
      </c>
      <c r="AA157" s="17"/>
      <c r="AB157" s="17">
        <f>'BS Modelling'!AB34*'Financial Statements'!AB$10</f>
        <v>0</v>
      </c>
      <c r="AC157" s="17"/>
      <c r="AD157" s="17">
        <f>'BS Modelling'!AD34*'Financial Statements'!AD$10</f>
        <v>0</v>
      </c>
      <c r="AH157" s="16" t="s">
        <v>149</v>
      </c>
      <c r="AJ157" s="18">
        <f t="shared" si="6"/>
        <v>0</v>
      </c>
      <c r="AL157" s="18">
        <f t="shared" si="6"/>
        <v>1.4043374878317349E-4</v>
      </c>
      <c r="AN157" s="18">
        <f t="shared" si="6"/>
        <v>0</v>
      </c>
      <c r="AP157" s="18">
        <f t="shared" si="6"/>
        <v>0</v>
      </c>
      <c r="AR157" s="18">
        <f t="shared" si="6"/>
        <v>0</v>
      </c>
      <c r="AT157" s="18">
        <f t="shared" si="6"/>
        <v>0</v>
      </c>
      <c r="AV157" s="18">
        <f t="shared" si="6"/>
        <v>0</v>
      </c>
      <c r="AX157" s="18">
        <f t="shared" si="6"/>
        <v>0</v>
      </c>
      <c r="AZ157" s="18">
        <f t="shared" si="6"/>
        <v>0</v>
      </c>
      <c r="BB157" s="18">
        <f t="shared" si="6"/>
        <v>0</v>
      </c>
      <c r="BD157" s="18">
        <f t="shared" si="6"/>
        <v>0</v>
      </c>
      <c r="BF157" s="18">
        <f t="shared" si="6"/>
        <v>0</v>
      </c>
      <c r="BH157" s="18">
        <f t="shared" si="6"/>
        <v>0</v>
      </c>
      <c r="BJ157" s="18">
        <f t="shared" si="6"/>
        <v>0</v>
      </c>
    </row>
    <row r="158" spans="2:62" ht="28.8" x14ac:dyDescent="0.3">
      <c r="B158" s="16" t="s">
        <v>189</v>
      </c>
      <c r="D158" s="4">
        <v>1811</v>
      </c>
      <c r="F158" s="4">
        <v>1834</v>
      </c>
      <c r="H158" s="4">
        <v>5345</v>
      </c>
      <c r="J158" s="4">
        <v>3979</v>
      </c>
      <c r="L158" s="4">
        <v>7036</v>
      </c>
      <c r="N158" s="17">
        <f>'BS Modelling'!N35*'Financial Statements'!N$10</f>
        <v>5386.0129751071581</v>
      </c>
      <c r="O158" s="17"/>
      <c r="P158" s="17">
        <f>'BS Modelling'!P35*'Financial Statements'!P$10</f>
        <v>7333.1120243869627</v>
      </c>
      <c r="Q158" s="17"/>
      <c r="R158" s="17">
        <f>'BS Modelling'!R35*'Financial Statements'!R$10</f>
        <v>9252.0762776946503</v>
      </c>
      <c r="S158" s="17"/>
      <c r="T158" s="17">
        <f>'BS Modelling'!T35*'Financial Statements'!T$10</f>
        <v>9975.0054664769086</v>
      </c>
      <c r="U158" s="17"/>
      <c r="V158" s="17">
        <f>'BS Modelling'!V35*'Financial Statements'!V$10</f>
        <v>10878.572379944837</v>
      </c>
      <c r="W158" s="17"/>
      <c r="X158" s="17">
        <f>'BS Modelling'!X35*'Financial Statements'!X$10</f>
        <v>11836.588013908533</v>
      </c>
      <c r="Y158" s="17"/>
      <c r="Z158" s="17">
        <f>'BS Modelling'!Z35*'Financial Statements'!Z$10</f>
        <v>11194.681442416082</v>
      </c>
      <c r="AA158" s="17"/>
      <c r="AB158" s="17">
        <f>'BS Modelling'!AB35*'Financial Statements'!AB$10</f>
        <v>11371.729148430393</v>
      </c>
      <c r="AC158" s="17"/>
      <c r="AD158" s="17">
        <f>'BS Modelling'!AD35*'Financial Statements'!AD$10</f>
        <v>11602.893694567039</v>
      </c>
      <c r="AH158" s="16" t="s">
        <v>108</v>
      </c>
      <c r="AJ158" s="18">
        <f t="shared" si="6"/>
        <v>3.2096839941158748E-3</v>
      </c>
      <c r="AL158" s="18">
        <f t="shared" si="6"/>
        <v>2.9267669916856836E-3</v>
      </c>
      <c r="AN158" s="18">
        <f t="shared" si="6"/>
        <v>5.6545169487401377E-3</v>
      </c>
      <c r="AP158" s="18">
        <f t="shared" si="6"/>
        <v>3.8352398687594219E-3</v>
      </c>
      <c r="AR158" s="18">
        <f t="shared" si="6"/>
        <v>7.252778290319355E-3</v>
      </c>
      <c r="AT158" s="18">
        <f t="shared" si="6"/>
        <v>4.9789558430798396E-3</v>
      </c>
      <c r="AV158" s="18">
        <f t="shared" si="6"/>
        <v>6.1046063496317049E-3</v>
      </c>
      <c r="AX158" s="18">
        <f t="shared" si="6"/>
        <v>6.9243782219694074E-3</v>
      </c>
      <c r="AZ158" s="18">
        <f t="shared" si="6"/>
        <v>6.9070675647519494E-3</v>
      </c>
      <c r="BB158" s="18">
        <f t="shared" si="6"/>
        <v>6.3088245550961299E-3</v>
      </c>
      <c r="BD158" s="18">
        <f t="shared" si="6"/>
        <v>6.4188053061076068E-3</v>
      </c>
      <c r="BF158" s="18">
        <f t="shared" si="6"/>
        <v>5.923871261681507E-3</v>
      </c>
      <c r="BH158" s="18">
        <f t="shared" si="6"/>
        <v>5.8148089308685856E-3</v>
      </c>
      <c r="BJ158" s="18">
        <f t="shared" si="6"/>
        <v>5.7368043081976773E-3</v>
      </c>
    </row>
    <row r="159" spans="2:62" ht="28.8" x14ac:dyDescent="0.3">
      <c r="B159" s="16" t="s">
        <v>153</v>
      </c>
      <c r="D159" s="4">
        <v>4470</v>
      </c>
      <c r="F159" s="4">
        <v>0</v>
      </c>
      <c r="H159" s="4">
        <v>0</v>
      </c>
      <c r="J159" s="4">
        <v>0</v>
      </c>
      <c r="L159" s="4">
        <v>0</v>
      </c>
      <c r="N159" s="17">
        <f>'BS Modelling'!N56</f>
        <v>0</v>
      </c>
      <c r="O159" s="17"/>
      <c r="P159" s="17">
        <f>'BS Modelling'!P56</f>
        <v>0</v>
      </c>
      <c r="Q159" s="17"/>
      <c r="R159" s="17">
        <f>'BS Modelling'!R56</f>
        <v>0</v>
      </c>
      <c r="S159" s="17"/>
      <c r="T159" s="17">
        <f>'BS Modelling'!T56</f>
        <v>248094</v>
      </c>
      <c r="U159" s="17"/>
      <c r="V159" s="17">
        <f>'BS Modelling'!V56</f>
        <v>0</v>
      </c>
      <c r="W159" s="17"/>
      <c r="X159" s="17">
        <f>'BS Modelling'!X56</f>
        <v>0</v>
      </c>
      <c r="Y159" s="17"/>
      <c r="Z159" s="17">
        <f>'BS Modelling'!Z56</f>
        <v>0</v>
      </c>
      <c r="AA159" s="17"/>
      <c r="AB159" s="17">
        <f>'BS Modelling'!AB56</f>
        <v>0</v>
      </c>
      <c r="AC159" s="17"/>
      <c r="AD159" s="17">
        <f>'BS Modelling'!AD56</f>
        <v>0</v>
      </c>
      <c r="AH159" s="16" t="s">
        <v>153</v>
      </c>
      <c r="AJ159" s="18">
        <f t="shared" si="6"/>
        <v>7.9223011892313421E-3</v>
      </c>
      <c r="AL159" s="18">
        <f t="shared" si="6"/>
        <v>0</v>
      </c>
      <c r="AN159" s="18">
        <f t="shared" si="6"/>
        <v>0</v>
      </c>
      <c r="AP159" s="18">
        <f t="shared" si="6"/>
        <v>0</v>
      </c>
      <c r="AR159" s="18">
        <f t="shared" si="6"/>
        <v>0</v>
      </c>
      <c r="AT159" s="18">
        <f t="shared" si="6"/>
        <v>0</v>
      </c>
      <c r="AV159" s="18">
        <f t="shared" si="6"/>
        <v>0</v>
      </c>
      <c r="AX159" s="18">
        <f t="shared" si="6"/>
        <v>0</v>
      </c>
      <c r="AZ159" s="18">
        <f t="shared" si="6"/>
        <v>0.17178958208779815</v>
      </c>
      <c r="BB159" s="18">
        <f t="shared" si="6"/>
        <v>0</v>
      </c>
      <c r="BD159" s="18">
        <f t="shared" si="6"/>
        <v>0</v>
      </c>
      <c r="BF159" s="18">
        <f t="shared" si="6"/>
        <v>0</v>
      </c>
      <c r="BH159" s="18">
        <f t="shared" si="6"/>
        <v>0</v>
      </c>
      <c r="BJ159" s="18">
        <f t="shared" si="6"/>
        <v>0</v>
      </c>
    </row>
    <row r="160" spans="2:62" ht="29.4" thickBot="1" x14ac:dyDescent="0.35">
      <c r="B160" s="19" t="s">
        <v>109</v>
      </c>
      <c r="C160" s="5"/>
      <c r="D160" s="5">
        <v>0</v>
      </c>
      <c r="E160" s="5"/>
      <c r="F160" s="5">
        <v>0</v>
      </c>
      <c r="G160" s="5"/>
      <c r="H160" s="5">
        <v>0</v>
      </c>
      <c r="I160" s="5"/>
      <c r="J160" s="5">
        <v>17348</v>
      </c>
      <c r="K160" s="5"/>
      <c r="L160" s="5">
        <v>0</v>
      </c>
      <c r="M160" s="5"/>
      <c r="N160" s="20">
        <f>'BS Modelling'!N36*'Financial Statements'!N$10</f>
        <v>0</v>
      </c>
      <c r="O160" s="20"/>
      <c r="P160" s="20">
        <f>'BS Modelling'!P36*'Financial Statements'!P$10</f>
        <v>0</v>
      </c>
      <c r="Q160" s="20"/>
      <c r="R160" s="20">
        <f>'BS Modelling'!R36*'Financial Statements'!R$10</f>
        <v>0</v>
      </c>
      <c r="S160" s="20"/>
      <c r="T160" s="20">
        <f>'BS Modelling'!T36*'Financial Statements'!T$10</f>
        <v>0</v>
      </c>
      <c r="U160" s="20"/>
      <c r="V160" s="20">
        <f>'BS Modelling'!V36*'Financial Statements'!V$10</f>
        <v>0</v>
      </c>
      <c r="W160" s="20"/>
      <c r="X160" s="20">
        <f>'BS Modelling'!X36*'Financial Statements'!X$10</f>
        <v>0</v>
      </c>
      <c r="Y160" s="20"/>
      <c r="Z160" s="20">
        <f>'BS Modelling'!Z36*'Financial Statements'!Z$10</f>
        <v>0</v>
      </c>
      <c r="AA160" s="20"/>
      <c r="AB160" s="20">
        <f>'BS Modelling'!AB36*'Financial Statements'!AB$10</f>
        <v>0</v>
      </c>
      <c r="AC160" s="20"/>
      <c r="AD160" s="20">
        <f>'BS Modelling'!AD36*'Financial Statements'!AD$10</f>
        <v>0</v>
      </c>
      <c r="AH160" s="16" t="s">
        <v>109</v>
      </c>
      <c r="AJ160" s="18">
        <f t="shared" si="6"/>
        <v>0</v>
      </c>
      <c r="AL160" s="18">
        <f t="shared" si="6"/>
        <v>0</v>
      </c>
      <c r="AN160" s="18">
        <f t="shared" si="6"/>
        <v>0</v>
      </c>
      <c r="AP160" s="18">
        <f t="shared" si="6"/>
        <v>1.6721221724865155E-2</v>
      </c>
      <c r="AR160" s="18">
        <f t="shared" si="6"/>
        <v>0</v>
      </c>
      <c r="AT160" s="18">
        <f t="shared" si="6"/>
        <v>0</v>
      </c>
      <c r="AV160" s="18">
        <f t="shared" si="6"/>
        <v>0</v>
      </c>
      <c r="AX160" s="18">
        <f t="shared" si="6"/>
        <v>0</v>
      </c>
      <c r="AZ160" s="18">
        <f t="shared" si="6"/>
        <v>0</v>
      </c>
      <c r="BB160" s="18">
        <f t="shared" si="6"/>
        <v>0</v>
      </c>
      <c r="BD160" s="18">
        <f t="shared" si="6"/>
        <v>0</v>
      </c>
      <c r="BF160" s="18">
        <f t="shared" si="6"/>
        <v>0</v>
      </c>
      <c r="BH160" s="18">
        <f t="shared" si="6"/>
        <v>0</v>
      </c>
      <c r="BJ160" s="18">
        <f t="shared" si="6"/>
        <v>0</v>
      </c>
    </row>
    <row r="161" spans="2:62" s="6" customFormat="1" x14ac:dyDescent="0.3">
      <c r="B161" s="15" t="s">
        <v>110</v>
      </c>
      <c r="D161" s="6">
        <f>SUM(D150:D160)</f>
        <v>61907</v>
      </c>
      <c r="F161" s="6">
        <f>SUM(F150:F160)</f>
        <v>56651</v>
      </c>
      <c r="H161" s="6">
        <f>SUM(H150:H160)</f>
        <v>92936</v>
      </c>
      <c r="J161" s="6">
        <f>SUM(J150:J160)</f>
        <v>99611</v>
      </c>
      <c r="L161" s="6">
        <f>SUM(L150:L160)</f>
        <v>105856</v>
      </c>
      <c r="N161" s="21">
        <f>SUM(N150:N160)</f>
        <v>109565.86711284914</v>
      </c>
      <c r="O161" s="21"/>
      <c r="P161" s="21">
        <f>SUM(P150:P160)</f>
        <v>149175.05421932865</v>
      </c>
      <c r="Q161" s="21"/>
      <c r="R161" s="21">
        <f>SUM(R150:R160)</f>
        <v>188211.90454701189</v>
      </c>
      <c r="S161" s="21"/>
      <c r="T161" s="21">
        <f>SUM(T150:T160)</f>
        <v>451012.21212484327</v>
      </c>
      <c r="U161" s="21"/>
      <c r="V161" s="21">
        <f>SUM(V150:V160)</f>
        <v>221299.17274007917</v>
      </c>
      <c r="W161" s="21"/>
      <c r="X161" s="21">
        <f>SUM(X150:X160)</f>
        <v>240787.76553182042</v>
      </c>
      <c r="Y161" s="21"/>
      <c r="Z161" s="21">
        <f>SUM(Z150:Z160)</f>
        <v>227729.6740574665</v>
      </c>
      <c r="AA161" s="21"/>
      <c r="AB161" s="21">
        <f>SUM(AB150:AB160)</f>
        <v>231331.29654138055</v>
      </c>
      <c r="AC161" s="21"/>
      <c r="AD161" s="21">
        <f>SUM(AD150:AD160)</f>
        <v>236033.7998699593</v>
      </c>
      <c r="AH161" s="15" t="s">
        <v>110</v>
      </c>
      <c r="AJ161" s="18">
        <f t="shared" si="6"/>
        <v>0.10971944065363416</v>
      </c>
      <c r="AL161" s="18">
        <f t="shared" si="6"/>
        <v>9.0405821617222284E-2</v>
      </c>
      <c r="AN161" s="18">
        <f t="shared" si="6"/>
        <v>9.831771508851514E-2</v>
      </c>
      <c r="AP161" s="18">
        <f t="shared" si="6"/>
        <v>9.6012083077907706E-2</v>
      </c>
      <c r="AR161" s="18">
        <f t="shared" si="6"/>
        <v>0.10911741027573134</v>
      </c>
      <c r="AT161" s="18">
        <f t="shared" si="6"/>
        <v>0.10128523952409824</v>
      </c>
      <c r="AV161" s="18">
        <f t="shared" si="6"/>
        <v>0.12418397266610651</v>
      </c>
      <c r="AX161" s="18">
        <f t="shared" si="6"/>
        <v>0.1408603186835643</v>
      </c>
      <c r="AZ161" s="18">
        <f t="shared" si="6"/>
        <v>0.31229775584020653</v>
      </c>
      <c r="BB161" s="18">
        <f t="shared" si="6"/>
        <v>0.12833831556601283</v>
      </c>
      <c r="BD161" s="18">
        <f t="shared" si="6"/>
        <v>0.13057561733375597</v>
      </c>
      <c r="BF161" s="18">
        <f t="shared" si="6"/>
        <v>0.12050733900025715</v>
      </c>
      <c r="BH161" s="18">
        <f t="shared" si="6"/>
        <v>0.11828872034855803</v>
      </c>
      <c r="BJ161" s="18">
        <f t="shared" si="6"/>
        <v>0.1167018983038936</v>
      </c>
    </row>
    <row r="162" spans="2:62" x14ac:dyDescent="0.3"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</row>
    <row r="163" spans="2:62" ht="28.8" x14ac:dyDescent="0.3">
      <c r="B163" s="16" t="s">
        <v>111</v>
      </c>
      <c r="D163" s="4">
        <v>0</v>
      </c>
      <c r="F163" s="4">
        <v>15278</v>
      </c>
      <c r="H163" s="4">
        <v>41170</v>
      </c>
      <c r="J163" s="4">
        <v>23046</v>
      </c>
      <c r="L163" s="4">
        <v>9919</v>
      </c>
      <c r="N163" s="17">
        <f>'BS Modelling'!N38*'Financial Statements'!N$10</f>
        <v>18856.915483987141</v>
      </c>
      <c r="O163" s="17"/>
      <c r="P163" s="17">
        <f>'BS Modelling'!P38*'Financial Statements'!P$10</f>
        <v>25673.884247507525</v>
      </c>
      <c r="Q163" s="17"/>
      <c r="R163" s="17">
        <f>'BS Modelling'!R38*'Financial Statements'!R$10</f>
        <v>32392.350561765827</v>
      </c>
      <c r="S163" s="17"/>
      <c r="T163" s="17">
        <f>'BS Modelling'!T38*'Financial Statements'!T$10</f>
        <v>34923.390623640757</v>
      </c>
      <c r="U163" s="17"/>
      <c r="V163" s="17">
        <f>'BS Modelling'!V38*'Financial Statements'!V$10</f>
        <v>38086.85959412776</v>
      </c>
      <c r="W163" s="17"/>
      <c r="X163" s="17">
        <f>'BS Modelling'!X38*'Financial Statements'!X$10</f>
        <v>41440.95842855033</v>
      </c>
      <c r="Y163" s="17"/>
      <c r="Z163" s="17">
        <f>'BS Modelling'!Z38*'Financial Statements'!Z$10</f>
        <v>39193.585831567631</v>
      </c>
      <c r="AA163" s="17"/>
      <c r="AB163" s="17">
        <f>'BS Modelling'!AB38*'Financial Statements'!AB$10</f>
        <v>39813.445762164854</v>
      </c>
      <c r="AC163" s="17"/>
      <c r="AD163" s="17">
        <f>'BS Modelling'!AD38*'Financial Statements'!AD$10</f>
        <v>40622.773613683115</v>
      </c>
      <c r="AH163" s="16" t="s">
        <v>111</v>
      </c>
      <c r="AJ163" s="18">
        <f t="shared" ref="AJ163:BJ169" si="7">D163/D$146</f>
        <v>0</v>
      </c>
      <c r="AL163" s="18">
        <f t="shared" si="7"/>
        <v>2.4381213794424143E-2</v>
      </c>
      <c r="AN163" s="18">
        <f t="shared" si="7"/>
        <v>4.3554062259987175E-2</v>
      </c>
      <c r="AP163" s="18">
        <f t="shared" si="7"/>
        <v>2.2213354615589251E-2</v>
      </c>
      <c r="AR163" s="18">
        <f t="shared" si="7"/>
        <v>1.0224603163967835E-2</v>
      </c>
      <c r="AT163" s="18">
        <f t="shared" si="7"/>
        <v>1.7431771881238834E-2</v>
      </c>
      <c r="AV163" s="18">
        <f t="shared" si="7"/>
        <v>2.1372775470472394E-2</v>
      </c>
      <c r="AX163" s="18">
        <f t="shared" si="7"/>
        <v>2.4242870471035294E-2</v>
      </c>
      <c r="AZ163" s="18">
        <f t="shared" si="7"/>
        <v>2.4182264304353083E-2</v>
      </c>
      <c r="BB163" s="18">
        <f t="shared" si="7"/>
        <v>2.2087761761543777E-2</v>
      </c>
      <c r="BD163" s="18">
        <f t="shared" si="7"/>
        <v>2.2472814255155262E-2</v>
      </c>
      <c r="BF163" s="18">
        <f t="shared" si="7"/>
        <v>2.0740005684320877E-2</v>
      </c>
      <c r="BH163" s="18">
        <f t="shared" si="7"/>
        <v>2.0358168662365877E-2</v>
      </c>
      <c r="BJ163" s="18">
        <f t="shared" si="7"/>
        <v>2.0085067467871191E-2</v>
      </c>
    </row>
    <row r="164" spans="2:62" x14ac:dyDescent="0.3">
      <c r="B164" s="16" t="s">
        <v>112</v>
      </c>
      <c r="D164" s="4">
        <v>58304</v>
      </c>
      <c r="F164" s="4">
        <v>62000</v>
      </c>
      <c r="H164" s="4">
        <v>251000</v>
      </c>
      <c r="J164" s="4">
        <v>246892</v>
      </c>
      <c r="L164" s="4">
        <v>248094</v>
      </c>
      <c r="N164" s="17">
        <f>'BS Modelling'!N57</f>
        <v>248094</v>
      </c>
      <c r="O164" s="17"/>
      <c r="P164" s="17">
        <f>'BS Modelling'!P57</f>
        <v>248094</v>
      </c>
      <c r="Q164" s="17"/>
      <c r="R164" s="17">
        <f>'BS Modelling'!R57</f>
        <v>248094</v>
      </c>
      <c r="S164" s="17"/>
      <c r="T164" s="17">
        <f>'BS Modelling'!T57</f>
        <v>0</v>
      </c>
      <c r="U164" s="17"/>
      <c r="V164" s="17">
        <f>'BS Modelling'!V57</f>
        <v>400000</v>
      </c>
      <c r="W164" s="17"/>
      <c r="X164" s="17">
        <f>'BS Modelling'!X57</f>
        <v>400000</v>
      </c>
      <c r="Y164" s="17"/>
      <c r="Z164" s="17">
        <f>'BS Modelling'!Z57</f>
        <v>400000</v>
      </c>
      <c r="AA164" s="17"/>
      <c r="AB164" s="17">
        <f>'BS Modelling'!AB57</f>
        <v>400000</v>
      </c>
      <c r="AC164" s="17"/>
      <c r="AD164" s="17">
        <f>'BS Modelling'!AD57</f>
        <v>400000</v>
      </c>
      <c r="AH164" s="16" t="s">
        <v>112</v>
      </c>
      <c r="AJ164" s="18">
        <f t="shared" si="7"/>
        <v>0.10333374687627386</v>
      </c>
      <c r="AL164" s="18">
        <f t="shared" si="7"/>
        <v>9.8941959369963139E-2</v>
      </c>
      <c r="AN164" s="18">
        <f t="shared" si="7"/>
        <v>0.26553484642353126</v>
      </c>
      <c r="AP164" s="18">
        <f t="shared" si="7"/>
        <v>0.23797186269860549</v>
      </c>
      <c r="AR164" s="18">
        <f t="shared" si="7"/>
        <v>0.25573774547448697</v>
      </c>
      <c r="AT164" s="18">
        <f t="shared" si="7"/>
        <v>0.22934387210763701</v>
      </c>
      <c r="AV164" s="18">
        <f t="shared" si="7"/>
        <v>0.2065311702138001</v>
      </c>
      <c r="AX164" s="18">
        <f t="shared" si="7"/>
        <v>0.18567688365722468</v>
      </c>
      <c r="AZ164" s="18">
        <f t="shared" si="7"/>
        <v>0</v>
      </c>
      <c r="BB164" s="18">
        <f t="shared" si="7"/>
        <v>0.23197251752359516</v>
      </c>
      <c r="BD164" s="18">
        <f t="shared" si="7"/>
        <v>0.21691403970688905</v>
      </c>
      <c r="BF164" s="18">
        <f t="shared" si="7"/>
        <v>0.21166734550341945</v>
      </c>
      <c r="BH164" s="18">
        <f t="shared" si="7"/>
        <v>0.20453561125033254</v>
      </c>
      <c r="BJ164" s="18">
        <f t="shared" si="7"/>
        <v>0.19777150284101591</v>
      </c>
    </row>
    <row r="165" spans="2:62" ht="28.8" x14ac:dyDescent="0.3">
      <c r="B165" s="16" t="s">
        <v>113</v>
      </c>
      <c r="D165" s="4">
        <v>0</v>
      </c>
      <c r="F165" s="4">
        <v>0</v>
      </c>
      <c r="H165" s="4">
        <v>5713</v>
      </c>
      <c r="J165" s="4">
        <v>3426</v>
      </c>
      <c r="L165" s="4">
        <v>8433</v>
      </c>
      <c r="N165" s="17">
        <f>'BS Modelling'!N39*'Financial Statements'!N$10</f>
        <v>7159.4415548431416</v>
      </c>
      <c r="O165" s="17"/>
      <c r="P165" s="17">
        <f>'BS Modelling'!P39*'Financial Statements'!P$10</f>
        <v>9747.6532634367431</v>
      </c>
      <c r="Q165" s="17"/>
      <c r="R165" s="17">
        <f>'BS Modelling'!R39*'Financial Statements'!R$10</f>
        <v>12298.466356700088</v>
      </c>
      <c r="S165" s="17"/>
      <c r="T165" s="17">
        <f>'BS Modelling'!T39*'Financial Statements'!T$10</f>
        <v>13259.431229844266</v>
      </c>
      <c r="U165" s="17"/>
      <c r="V165" s="17">
        <f>'BS Modelling'!V39*'Financial Statements'!V$10</f>
        <v>14460.511609294139</v>
      </c>
      <c r="W165" s="17"/>
      <c r="X165" s="17">
        <f>'BS Modelling'!X39*'Financial Statements'!X$10</f>
        <v>15733.968797698446</v>
      </c>
      <c r="Y165" s="17"/>
      <c r="Z165" s="17">
        <f>'BS Modelling'!Z39*'Financial Statements'!Z$10</f>
        <v>14880.704499318528</v>
      </c>
      <c r="AA165" s="17"/>
      <c r="AB165" s="17">
        <f>'BS Modelling'!AB39*'Financial Statements'!AB$10</f>
        <v>15116.04791744375</v>
      </c>
      <c r="AC165" s="17"/>
      <c r="AD165" s="17">
        <f>'BS Modelling'!AD39*'Financial Statements'!AD$10</f>
        <v>15423.326987372879</v>
      </c>
      <c r="AH165" s="16" t="s">
        <v>113</v>
      </c>
      <c r="AJ165" s="18">
        <f t="shared" si="7"/>
        <v>0</v>
      </c>
      <c r="AL165" s="18">
        <f t="shared" si="7"/>
        <v>0</v>
      </c>
      <c r="AN165" s="18">
        <f t="shared" si="7"/>
        <v>6.0438270024606939E-3</v>
      </c>
      <c r="AP165" s="18">
        <f t="shared" si="7"/>
        <v>3.3022196004950438E-3</v>
      </c>
      <c r="AR165" s="18">
        <f t="shared" si="7"/>
        <v>8.6928196876439913E-3</v>
      </c>
      <c r="AT165" s="18">
        <f t="shared" si="7"/>
        <v>6.6183545281870886E-3</v>
      </c>
      <c r="AV165" s="18">
        <f t="shared" si="7"/>
        <v>8.1146429794189227E-3</v>
      </c>
      <c r="AX165" s="18">
        <f t="shared" si="7"/>
        <v>9.2043374965750657E-3</v>
      </c>
      <c r="AZ165" s="18">
        <f t="shared" si="7"/>
        <v>9.1813270361106904E-3</v>
      </c>
      <c r="BB165" s="18">
        <f t="shared" si="7"/>
        <v>8.3861032067178397E-3</v>
      </c>
      <c r="BD165" s="18">
        <f t="shared" si="7"/>
        <v>8.5322968313272848E-3</v>
      </c>
      <c r="BF165" s="18">
        <f t="shared" si="7"/>
        <v>7.8743980514788571E-3</v>
      </c>
      <c r="BH165" s="18">
        <f t="shared" si="7"/>
        <v>7.7294252512091844E-3</v>
      </c>
      <c r="BJ165" s="18">
        <f t="shared" si="7"/>
        <v>7.6257363927528321E-3</v>
      </c>
    </row>
    <row r="166" spans="2:62" x14ac:dyDescent="0.3">
      <c r="B166" s="16" t="s">
        <v>150</v>
      </c>
      <c r="D166" s="4">
        <v>0</v>
      </c>
      <c r="F166" s="4">
        <v>1419</v>
      </c>
      <c r="H166" s="4">
        <v>0</v>
      </c>
      <c r="J166" s="4">
        <v>0</v>
      </c>
      <c r="L166" s="4">
        <v>0</v>
      </c>
      <c r="N166" s="17">
        <f>'BS Modelling'!N40*'Financial Statements'!N$10</f>
        <v>0</v>
      </c>
      <c r="O166" s="17"/>
      <c r="P166" s="17">
        <f>'BS Modelling'!P40*'Financial Statements'!P$10</f>
        <v>0</v>
      </c>
      <c r="Q166" s="17"/>
      <c r="R166" s="17">
        <f>'BS Modelling'!R40*'Financial Statements'!R$10</f>
        <v>0</v>
      </c>
      <c r="S166" s="17"/>
      <c r="T166" s="17">
        <f>'BS Modelling'!T40*'Financial Statements'!T$10</f>
        <v>0</v>
      </c>
      <c r="U166" s="17"/>
      <c r="V166" s="17">
        <f>'BS Modelling'!V40*'Financial Statements'!V$10</f>
        <v>0</v>
      </c>
      <c r="W166" s="17"/>
      <c r="X166" s="17">
        <f>'BS Modelling'!X40*'Financial Statements'!X$10</f>
        <v>0</v>
      </c>
      <c r="Y166" s="17"/>
      <c r="Z166" s="17">
        <f>'BS Modelling'!Z40*'Financial Statements'!Z$10</f>
        <v>0</v>
      </c>
      <c r="AA166" s="17"/>
      <c r="AB166" s="17">
        <f>'BS Modelling'!AB40*'Financial Statements'!AB$10</f>
        <v>0</v>
      </c>
      <c r="AC166" s="17"/>
      <c r="AD166" s="17">
        <f>'BS Modelling'!AD40*'Financial Statements'!AD$10</f>
        <v>0</v>
      </c>
      <c r="AH166" s="16" t="s">
        <v>150</v>
      </c>
      <c r="AJ166" s="18">
        <f t="shared" si="7"/>
        <v>0</v>
      </c>
      <c r="AL166" s="18">
        <f t="shared" si="7"/>
        <v>2.2644941991286725E-3</v>
      </c>
      <c r="AN166" s="18">
        <f t="shared" si="7"/>
        <v>0</v>
      </c>
      <c r="AP166" s="18">
        <f t="shared" si="7"/>
        <v>0</v>
      </c>
      <c r="AR166" s="18">
        <f t="shared" si="7"/>
        <v>0</v>
      </c>
      <c r="AT166" s="18">
        <f t="shared" si="7"/>
        <v>0</v>
      </c>
      <c r="AV166" s="18">
        <f t="shared" si="7"/>
        <v>0</v>
      </c>
      <c r="AX166" s="18">
        <f t="shared" si="7"/>
        <v>0</v>
      </c>
      <c r="AZ166" s="18">
        <f t="shared" si="7"/>
        <v>0</v>
      </c>
      <c r="BB166" s="18">
        <f t="shared" si="7"/>
        <v>0</v>
      </c>
      <c r="BD166" s="18">
        <f t="shared" si="7"/>
        <v>0</v>
      </c>
      <c r="BF166" s="18">
        <f t="shared" si="7"/>
        <v>0</v>
      </c>
      <c r="BH166" s="18">
        <f t="shared" si="7"/>
        <v>0</v>
      </c>
      <c r="BJ166" s="18">
        <f t="shared" si="7"/>
        <v>0</v>
      </c>
    </row>
    <row r="167" spans="2:62" x14ac:dyDescent="0.3">
      <c r="B167" s="16" t="s">
        <v>114</v>
      </c>
      <c r="D167" s="4">
        <v>1891</v>
      </c>
      <c r="F167" s="4">
        <v>2117</v>
      </c>
      <c r="H167" s="4">
        <v>1242</v>
      </c>
      <c r="J167" s="4">
        <v>1258</v>
      </c>
      <c r="L167" s="4">
        <v>1604</v>
      </c>
      <c r="N167" s="17">
        <f>'BS Modelling'!N41*'Financial Statements'!N$10</f>
        <v>2517.8327716813174</v>
      </c>
      <c r="O167" s="17"/>
      <c r="P167" s="17">
        <f>'BS Modelling'!P41*'Financial Statements'!P$10</f>
        <v>3428.055197554454</v>
      </c>
      <c r="Q167" s="17"/>
      <c r="R167" s="17">
        <f>'BS Modelling'!R41*'Financial Statements'!R$10</f>
        <v>4325.125276478082</v>
      </c>
      <c r="S167" s="17"/>
      <c r="T167" s="17">
        <f>'BS Modelling'!T41*'Financial Statements'!T$10</f>
        <v>4663.0774521474596</v>
      </c>
      <c r="U167" s="17"/>
      <c r="V167" s="17">
        <f>'BS Modelling'!V41*'Financial Statements'!V$10</f>
        <v>5085.4734613385117</v>
      </c>
      <c r="W167" s="17"/>
      <c r="X167" s="17">
        <f>'BS Modelling'!X41*'Financial Statements'!X$10</f>
        <v>5533.3229503993607</v>
      </c>
      <c r="Y167" s="17"/>
      <c r="Z167" s="17">
        <f>'BS Modelling'!Z41*'Financial Statements'!Z$10</f>
        <v>5233.2469183639696</v>
      </c>
      <c r="AA167" s="17"/>
      <c r="AB167" s="17">
        <f>'BS Modelling'!AB41*'Financial Statements'!AB$10</f>
        <v>5316.0125036705967</v>
      </c>
      <c r="AC167" s="17"/>
      <c r="AD167" s="17">
        <f>'BS Modelling'!AD41*'Financial Statements'!AD$10</f>
        <v>5424.0764226777919</v>
      </c>
      <c r="AH167" s="16" t="s">
        <v>114</v>
      </c>
      <c r="AJ167" s="18">
        <f t="shared" si="7"/>
        <v>3.3514701451535719E-3</v>
      </c>
      <c r="AL167" s="18">
        <f t="shared" si="7"/>
        <v>3.3783891610679349E-3</v>
      </c>
      <c r="AN167" s="18">
        <f t="shared" si="7"/>
        <v>1.3139214313068759E-3</v>
      </c>
      <c r="AP167" s="18">
        <f t="shared" si="7"/>
        <v>1.2125488200299957E-3</v>
      </c>
      <c r="AR167" s="18">
        <f t="shared" si="7"/>
        <v>1.6534190417385227E-3</v>
      </c>
      <c r="AT167" s="18">
        <f t="shared" si="7"/>
        <v>2.3275432585104731E-3</v>
      </c>
      <c r="AV167" s="18">
        <f t="shared" si="7"/>
        <v>2.8537580574637886E-3</v>
      </c>
      <c r="AX167" s="18">
        <f t="shared" si="7"/>
        <v>3.2369818809142607E-3</v>
      </c>
      <c r="AZ167" s="18">
        <f t="shared" si="7"/>
        <v>3.2288895610028726E-3</v>
      </c>
      <c r="BB167" s="18">
        <f t="shared" si="7"/>
        <v>2.9492252040653152E-3</v>
      </c>
      <c r="BD167" s="18">
        <f t="shared" si="7"/>
        <v>3.0006385854349188E-3</v>
      </c>
      <c r="BF167" s="18">
        <f t="shared" si="7"/>
        <v>2.7692687089351286E-3</v>
      </c>
      <c r="BH167" s="18">
        <f t="shared" si="7"/>
        <v>2.7182846671316907E-3</v>
      </c>
      <c r="BJ167" s="18">
        <f t="shared" si="7"/>
        <v>2.681819364093771E-3</v>
      </c>
    </row>
    <row r="168" spans="2:62" ht="29.4" thickBot="1" x14ac:dyDescent="0.35">
      <c r="B168" s="19" t="s">
        <v>115</v>
      </c>
      <c r="C168" s="5"/>
      <c r="D168" s="5">
        <v>0</v>
      </c>
      <c r="E168" s="5"/>
      <c r="F168" s="5">
        <v>0</v>
      </c>
      <c r="G168" s="5"/>
      <c r="H168" s="5">
        <v>0</v>
      </c>
      <c r="I168" s="5"/>
      <c r="J168" s="5">
        <v>3234</v>
      </c>
      <c r="K168" s="5"/>
      <c r="L168" s="5">
        <v>0</v>
      </c>
      <c r="M168" s="5"/>
      <c r="N168" s="20">
        <f>'BS Modelling'!N42*'Financial Statements'!N$10</f>
        <v>0</v>
      </c>
      <c r="O168" s="20"/>
      <c r="P168" s="20">
        <f>'BS Modelling'!P42*'Financial Statements'!P$10</f>
        <v>0</v>
      </c>
      <c r="Q168" s="20"/>
      <c r="R168" s="20">
        <f>'BS Modelling'!R42*'Financial Statements'!R$10</f>
        <v>0</v>
      </c>
      <c r="S168" s="20"/>
      <c r="T168" s="20">
        <f>'BS Modelling'!T42*'Financial Statements'!T$10</f>
        <v>0</v>
      </c>
      <c r="U168" s="20"/>
      <c r="V168" s="20">
        <f>'BS Modelling'!V42*'Financial Statements'!V$10</f>
        <v>0</v>
      </c>
      <c r="W168" s="20"/>
      <c r="X168" s="20">
        <f>'BS Modelling'!X42*'Financial Statements'!X$10</f>
        <v>0</v>
      </c>
      <c r="Y168" s="20"/>
      <c r="Z168" s="20">
        <f>'BS Modelling'!Z42*'Financial Statements'!Z$10</f>
        <v>0</v>
      </c>
      <c r="AA168" s="20"/>
      <c r="AB168" s="20">
        <f>'BS Modelling'!AB42*'Financial Statements'!AB$10</f>
        <v>0</v>
      </c>
      <c r="AC168" s="20"/>
      <c r="AD168" s="20">
        <f>'BS Modelling'!AD42*'Financial Statements'!AD$10</f>
        <v>0</v>
      </c>
      <c r="AH168" s="16" t="s">
        <v>115</v>
      </c>
      <c r="AJ168" s="18">
        <f t="shared" si="7"/>
        <v>0</v>
      </c>
      <c r="AL168" s="18">
        <f t="shared" si="7"/>
        <v>0</v>
      </c>
      <c r="AN168" s="18">
        <f t="shared" si="7"/>
        <v>0</v>
      </c>
      <c r="AP168" s="18">
        <f t="shared" si="7"/>
        <v>3.1171565055461096E-3</v>
      </c>
      <c r="AR168" s="18">
        <f t="shared" si="7"/>
        <v>0</v>
      </c>
      <c r="AT168" s="18">
        <f t="shared" si="7"/>
        <v>0</v>
      </c>
      <c r="AV168" s="18">
        <f t="shared" si="7"/>
        <v>0</v>
      </c>
      <c r="AX168" s="18">
        <f t="shared" si="7"/>
        <v>0</v>
      </c>
      <c r="AZ168" s="18">
        <f t="shared" si="7"/>
        <v>0</v>
      </c>
      <c r="BB168" s="18">
        <f t="shared" si="7"/>
        <v>0</v>
      </c>
      <c r="BD168" s="18">
        <f t="shared" si="7"/>
        <v>0</v>
      </c>
      <c r="BF168" s="18">
        <f t="shared" si="7"/>
        <v>0</v>
      </c>
      <c r="BH168" s="18">
        <f t="shared" si="7"/>
        <v>0</v>
      </c>
      <c r="BJ168" s="18">
        <f t="shared" si="7"/>
        <v>0</v>
      </c>
    </row>
    <row r="169" spans="2:62" s="6" customFormat="1" x14ac:dyDescent="0.3">
      <c r="B169" s="15" t="s">
        <v>116</v>
      </c>
      <c r="D169" s="6">
        <f>SUM(D163:D168,D161)</f>
        <v>122102</v>
      </c>
      <c r="F169" s="6">
        <f>SUM(F163:F168,F161)</f>
        <v>137465</v>
      </c>
      <c r="H169" s="6">
        <f>SUM(H163:H168,H161)</f>
        <v>392061</v>
      </c>
      <c r="J169" s="6">
        <f>SUM(J163:J168,J161)</f>
        <v>377467</v>
      </c>
      <c r="L169" s="6">
        <f>SUM(L163:L168,L161)</f>
        <v>373906</v>
      </c>
      <c r="N169" s="21">
        <f>SUM(N163:N168,N161)</f>
        <v>386194.05692336074</v>
      </c>
      <c r="O169" s="21"/>
      <c r="P169" s="21">
        <f>SUM(P163:P168,P161)</f>
        <v>436118.64692782739</v>
      </c>
      <c r="Q169" s="21"/>
      <c r="R169" s="21">
        <f>SUM(R163:R168,R161)</f>
        <v>485321.8467419559</v>
      </c>
      <c r="S169" s="21"/>
      <c r="T169" s="21">
        <f>SUM(T163:T168,T161)</f>
        <v>503858.11143047572</v>
      </c>
      <c r="U169" s="21"/>
      <c r="V169" s="21">
        <f>SUM(V163:V168,V161)</f>
        <v>678932.01740483963</v>
      </c>
      <c r="W169" s="21"/>
      <c r="X169" s="21">
        <f>SUM(X163:X168,X161)</f>
        <v>703496.01570846862</v>
      </c>
      <c r="Y169" s="21"/>
      <c r="Z169" s="21">
        <f>SUM(Z163:Z168,Z161)</f>
        <v>687037.21130671666</v>
      </c>
      <c r="AA169" s="21"/>
      <c r="AB169" s="21">
        <f>SUM(AB163:AB168,AB161)</f>
        <v>691576.80272465968</v>
      </c>
      <c r="AC169" s="21"/>
      <c r="AD169" s="21">
        <f>SUM(AD163:AD168,AD161)</f>
        <v>697503.97689369309</v>
      </c>
      <c r="AH169" s="15" t="s">
        <v>116</v>
      </c>
      <c r="AJ169" s="18">
        <f t="shared" si="7"/>
        <v>0.21640465767506159</v>
      </c>
      <c r="AL169" s="18">
        <f t="shared" si="7"/>
        <v>0.21937187814180617</v>
      </c>
      <c r="AN169" s="18">
        <f t="shared" si="7"/>
        <v>0.41476437220580115</v>
      </c>
      <c r="AP169" s="18">
        <f t="shared" si="7"/>
        <v>0.36382922531817358</v>
      </c>
      <c r="AR169" s="18">
        <f t="shared" si="7"/>
        <v>0.38542599764356861</v>
      </c>
      <c r="AT169" s="18">
        <f t="shared" si="7"/>
        <v>0.35700678129967167</v>
      </c>
      <c r="AV169" s="18">
        <f t="shared" si="7"/>
        <v>0.36305631938726174</v>
      </c>
      <c r="AX169" s="18">
        <f t="shared" si="7"/>
        <v>0.36322139218931365</v>
      </c>
      <c r="AZ169" s="18">
        <f t="shared" si="7"/>
        <v>0.34889023674167313</v>
      </c>
      <c r="BB169" s="18">
        <f t="shared" si="7"/>
        <v>0.39373392326193496</v>
      </c>
      <c r="BD169" s="18">
        <f t="shared" si="7"/>
        <v>0.38149540671256255</v>
      </c>
      <c r="BF169" s="18">
        <f t="shared" si="7"/>
        <v>0.36355835694841149</v>
      </c>
      <c r="BH169" s="18">
        <f t="shared" si="7"/>
        <v>0.35363021017959728</v>
      </c>
      <c r="BJ169" s="18">
        <f t="shared" si="7"/>
        <v>0.34486602436962732</v>
      </c>
    </row>
    <row r="170" spans="2:62" x14ac:dyDescent="0.3"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</row>
    <row r="171" spans="2:62" s="6" customFormat="1" ht="15" thickBot="1" x14ac:dyDescent="0.35">
      <c r="B171" s="14" t="s">
        <v>117</v>
      </c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H171" s="15" t="s">
        <v>117</v>
      </c>
    </row>
    <row r="172" spans="2:62" x14ac:dyDescent="0.3">
      <c r="B172" s="16" t="s">
        <v>118</v>
      </c>
      <c r="D172" s="4">
        <v>0</v>
      </c>
      <c r="F172" s="4">
        <v>0</v>
      </c>
      <c r="H172" s="4">
        <v>0</v>
      </c>
      <c r="J172" s="4">
        <v>0</v>
      </c>
      <c r="L172" s="4">
        <v>0</v>
      </c>
      <c r="N172" s="17">
        <f>L172+'BS Modelling'!N61</f>
        <v>0</v>
      </c>
      <c r="O172" s="17"/>
      <c r="P172" s="17">
        <f>N172+'BS Modelling'!P61</f>
        <v>0</v>
      </c>
      <c r="Q172" s="17"/>
      <c r="R172" s="17">
        <f>P172+'BS Modelling'!R61</f>
        <v>0</v>
      </c>
      <c r="S172" s="17"/>
      <c r="T172" s="17">
        <f>R172+'BS Modelling'!T61</f>
        <v>0</v>
      </c>
      <c r="U172" s="17"/>
      <c r="V172" s="17">
        <f>T172+'BS Modelling'!V61</f>
        <v>0</v>
      </c>
      <c r="W172" s="17"/>
      <c r="X172" s="17">
        <f>V172+'BS Modelling'!X61</f>
        <v>0</v>
      </c>
      <c r="Y172" s="17"/>
      <c r="Z172" s="17">
        <f>X172+'BS Modelling'!Z61</f>
        <v>0</v>
      </c>
      <c r="AA172" s="17"/>
      <c r="AB172" s="17">
        <f>Z172+'BS Modelling'!AB61</f>
        <v>0</v>
      </c>
      <c r="AC172" s="17"/>
      <c r="AD172" s="17">
        <f>AB172+'BS Modelling'!AD61</f>
        <v>0</v>
      </c>
      <c r="AH172" s="16" t="s">
        <v>118</v>
      </c>
      <c r="AJ172" s="18">
        <f t="shared" ref="AJ172:BJ180" si="8">D172/D$146</f>
        <v>0</v>
      </c>
      <c r="AL172" s="18">
        <f t="shared" si="8"/>
        <v>0</v>
      </c>
      <c r="AN172" s="18">
        <f t="shared" si="8"/>
        <v>0</v>
      </c>
      <c r="AP172" s="18">
        <f t="shared" si="8"/>
        <v>0</v>
      </c>
      <c r="AR172" s="18">
        <f t="shared" si="8"/>
        <v>0</v>
      </c>
      <c r="AT172" s="18">
        <f t="shared" si="8"/>
        <v>0</v>
      </c>
      <c r="AV172" s="18">
        <f t="shared" si="8"/>
        <v>0</v>
      </c>
      <c r="AX172" s="18">
        <f t="shared" si="8"/>
        <v>0</v>
      </c>
      <c r="AZ172" s="18">
        <f t="shared" si="8"/>
        <v>0</v>
      </c>
      <c r="BB172" s="18">
        <f t="shared" si="8"/>
        <v>0</v>
      </c>
      <c r="BD172" s="18">
        <f t="shared" si="8"/>
        <v>0</v>
      </c>
      <c r="BF172" s="18">
        <f t="shared" si="8"/>
        <v>0</v>
      </c>
      <c r="BH172" s="18">
        <f t="shared" si="8"/>
        <v>0</v>
      </c>
      <c r="BJ172" s="18">
        <f t="shared" si="8"/>
        <v>0</v>
      </c>
    </row>
    <row r="173" spans="2:62" x14ac:dyDescent="0.3">
      <c r="B173" s="16" t="s">
        <v>119</v>
      </c>
      <c r="D173" s="4">
        <v>36</v>
      </c>
      <c r="F173" s="4">
        <v>37</v>
      </c>
      <c r="H173" s="4">
        <v>38</v>
      </c>
      <c r="J173" s="4">
        <v>40</v>
      </c>
      <c r="L173" s="4">
        <v>41</v>
      </c>
      <c r="N173" s="17">
        <f>L173</f>
        <v>41</v>
      </c>
      <c r="O173" s="17"/>
      <c r="P173" s="17">
        <f>N173</f>
        <v>41</v>
      </c>
      <c r="Q173" s="17"/>
      <c r="R173" s="17">
        <f>P173</f>
        <v>41</v>
      </c>
      <c r="S173" s="17"/>
      <c r="T173" s="17">
        <f>R173</f>
        <v>41</v>
      </c>
      <c r="U173" s="17"/>
      <c r="V173" s="17">
        <f>T173</f>
        <v>41</v>
      </c>
      <c r="W173" s="17"/>
      <c r="X173" s="17">
        <f>V173</f>
        <v>41</v>
      </c>
      <c r="Y173" s="17"/>
      <c r="Z173" s="17">
        <f>X173</f>
        <v>41</v>
      </c>
      <c r="AA173" s="17"/>
      <c r="AB173" s="17">
        <f>Z173</f>
        <v>41</v>
      </c>
      <c r="AC173" s="17"/>
      <c r="AD173" s="17">
        <f>AB173</f>
        <v>41</v>
      </c>
      <c r="AH173" s="16" t="s">
        <v>119</v>
      </c>
      <c r="AJ173" s="18">
        <f t="shared" si="8"/>
        <v>6.3803767966963824E-5</v>
      </c>
      <c r="AL173" s="18">
        <f t="shared" si="8"/>
        <v>5.9046008011107033E-5</v>
      </c>
      <c r="AN173" s="18">
        <f t="shared" si="8"/>
        <v>4.0200494677666086E-5</v>
      </c>
      <c r="AP173" s="18">
        <f t="shared" si="8"/>
        <v>3.8554811447694618E-5</v>
      </c>
      <c r="AR173" s="18">
        <f t="shared" si="8"/>
        <v>4.2263204932219095E-5</v>
      </c>
      <c r="AT173" s="18">
        <f t="shared" si="8"/>
        <v>3.7901354955835763E-5</v>
      </c>
      <c r="AV173" s="18">
        <f t="shared" si="8"/>
        <v>3.4131329168644967E-5</v>
      </c>
      <c r="AX173" s="18">
        <f t="shared" si="8"/>
        <v>3.0684950986102901E-5</v>
      </c>
      <c r="AZ173" s="18">
        <f t="shared" si="8"/>
        <v>2.838993633703243E-5</v>
      </c>
      <c r="BB173" s="18">
        <f t="shared" si="8"/>
        <v>2.3777183046168503E-5</v>
      </c>
      <c r="BD173" s="18">
        <f t="shared" si="8"/>
        <v>2.2233689069956129E-5</v>
      </c>
      <c r="BF173" s="18">
        <f t="shared" si="8"/>
        <v>2.1695902914100493E-5</v>
      </c>
      <c r="BH173" s="18">
        <f t="shared" si="8"/>
        <v>2.0964900153159088E-5</v>
      </c>
      <c r="BJ173" s="18">
        <f t="shared" si="8"/>
        <v>2.0271579041204131E-5</v>
      </c>
    </row>
    <row r="174" spans="2:62" x14ac:dyDescent="0.3">
      <c r="B174" s="16" t="s">
        <v>120</v>
      </c>
      <c r="D174" s="4">
        <v>-5906</v>
      </c>
      <c r="F174" s="4">
        <v>-6119</v>
      </c>
      <c r="H174" s="4">
        <v>-6320</v>
      </c>
      <c r="J174" s="4">
        <v>-6420</v>
      </c>
      <c r="L174" s="4">
        <v>-6420</v>
      </c>
      <c r="N174" s="17">
        <f>L174-'BS Modelling'!N62</f>
        <v>-6420</v>
      </c>
      <c r="O174" s="17"/>
      <c r="P174" s="17">
        <f>N174-'BS Modelling'!P62</f>
        <v>-6420</v>
      </c>
      <c r="Q174" s="17"/>
      <c r="R174" s="17">
        <f>P174-'BS Modelling'!R62</f>
        <v>-6420</v>
      </c>
      <c r="S174" s="17"/>
      <c r="T174" s="17">
        <f>R174-'BS Modelling'!T62</f>
        <v>-6420</v>
      </c>
      <c r="U174" s="17"/>
      <c r="V174" s="17">
        <f>T174-'BS Modelling'!V62</f>
        <v>-6420</v>
      </c>
      <c r="W174" s="17"/>
      <c r="X174" s="17">
        <f>V174-'BS Modelling'!X62</f>
        <v>-6420</v>
      </c>
      <c r="Y174" s="17"/>
      <c r="Z174" s="17">
        <f>X174-'BS Modelling'!Z62</f>
        <v>-6420</v>
      </c>
      <c r="AA174" s="17"/>
      <c r="AB174" s="17">
        <f>Z174-'BS Modelling'!AB62</f>
        <v>-6420</v>
      </c>
      <c r="AC174" s="17"/>
      <c r="AD174" s="17">
        <f>AB174-'BS Modelling'!AD62</f>
        <v>-6420</v>
      </c>
      <c r="AH174" s="16" t="s">
        <v>120</v>
      </c>
      <c r="AJ174" s="18">
        <f t="shared" si="8"/>
        <v>-1.0467362600358011E-2</v>
      </c>
      <c r="AL174" s="18">
        <f t="shared" si="8"/>
        <v>-9.7649330545936195E-3</v>
      </c>
      <c r="AN174" s="18">
        <f t="shared" si="8"/>
        <v>-6.6859770095486753E-3</v>
      </c>
      <c r="AP174" s="18">
        <f t="shared" si="8"/>
        <v>-6.1880472373549858E-3</v>
      </c>
      <c r="AR174" s="18">
        <f t="shared" si="8"/>
        <v>-6.6177994064596729E-3</v>
      </c>
      <c r="AT174" s="18">
        <f t="shared" si="8"/>
        <v>-5.9347975321089172E-3</v>
      </c>
      <c r="AV174" s="18">
        <f t="shared" si="8"/>
        <v>-5.3444666649439193E-3</v>
      </c>
      <c r="AX174" s="18">
        <f t="shared" si="8"/>
        <v>-4.8048142763605023E-3</v>
      </c>
      <c r="AZ174" s="18">
        <f t="shared" si="8"/>
        <v>-4.445448567896298E-3</v>
      </c>
      <c r="BB174" s="18">
        <f t="shared" si="8"/>
        <v>-3.7231589062537021E-3</v>
      </c>
      <c r="BD174" s="18">
        <f t="shared" si="8"/>
        <v>-3.4814703372955695E-3</v>
      </c>
      <c r="BF174" s="18">
        <f t="shared" si="8"/>
        <v>-3.3972608953298819E-3</v>
      </c>
      <c r="BH174" s="18">
        <f t="shared" si="8"/>
        <v>-3.2827965605678375E-3</v>
      </c>
      <c r="BJ174" s="18">
        <f t="shared" si="8"/>
        <v>-3.1742326205983057E-3</v>
      </c>
    </row>
    <row r="175" spans="2:62" x14ac:dyDescent="0.3">
      <c r="B175" s="16" t="s">
        <v>121</v>
      </c>
      <c r="D175" s="4">
        <v>230964</v>
      </c>
      <c r="F175" s="4">
        <v>247637</v>
      </c>
      <c r="H175" s="4">
        <v>274222</v>
      </c>
      <c r="J175" s="4">
        <v>317971</v>
      </c>
      <c r="L175" s="4">
        <v>352435</v>
      </c>
      <c r="N175" s="17">
        <f>L175+N58</f>
        <v>358772.06125000003</v>
      </c>
      <c r="O175" s="17"/>
      <c r="P175" s="17">
        <f>N175+P58</f>
        <v>373449.82453500002</v>
      </c>
      <c r="Q175" s="17"/>
      <c r="R175" s="17">
        <f>P175+R58</f>
        <v>388127.58782000002</v>
      </c>
      <c r="S175" s="17"/>
      <c r="T175" s="17">
        <f>R175+T58</f>
        <v>402805.35110500001</v>
      </c>
      <c r="U175" s="17"/>
      <c r="V175" s="17">
        <f>T175+V58</f>
        <v>579914.19460499997</v>
      </c>
      <c r="W175" s="17"/>
      <c r="X175" s="17">
        <f>V175+X58</f>
        <v>579914.19460499997</v>
      </c>
      <c r="Y175" s="17"/>
      <c r="Z175" s="17">
        <f>X175+Z58</f>
        <v>579914.19460499997</v>
      </c>
      <c r="AA175" s="17"/>
      <c r="AB175" s="17">
        <f>Z175+AB58</f>
        <v>579914.19460499997</v>
      </c>
      <c r="AC175" s="17"/>
      <c r="AD175" s="17">
        <f>AB175+AD58</f>
        <v>579914.19460499997</v>
      </c>
      <c r="AH175" s="16" t="s">
        <v>121</v>
      </c>
      <c r="AJ175" s="18">
        <f t="shared" si="8"/>
        <v>0.40934370735338427</v>
      </c>
      <c r="AL175" s="18">
        <f t="shared" si="8"/>
        <v>0.39518854826612193</v>
      </c>
      <c r="AN175" s="18">
        <f t="shared" si="8"/>
        <v>0.29010158030260391</v>
      </c>
      <c r="AP175" s="18">
        <f t="shared" si="8"/>
        <v>0.30648279877087259</v>
      </c>
      <c r="AR175" s="18">
        <f t="shared" si="8"/>
        <v>0.36329347878747897</v>
      </c>
      <c r="AT175" s="18">
        <f t="shared" si="8"/>
        <v>0.33165724979690492</v>
      </c>
      <c r="AV175" s="18">
        <f t="shared" si="8"/>
        <v>0.31088631437016562</v>
      </c>
      <c r="AX175" s="18">
        <f t="shared" si="8"/>
        <v>0.29047990264904994</v>
      </c>
      <c r="AZ175" s="18">
        <f t="shared" si="8"/>
        <v>0.27891751888016941</v>
      </c>
      <c r="BB175" s="18">
        <f t="shared" si="8"/>
        <v>0.33631038917547484</v>
      </c>
      <c r="BD175" s="18">
        <f t="shared" si="8"/>
        <v>0.31447882658784387</v>
      </c>
      <c r="BF175" s="18">
        <f t="shared" si="8"/>
        <v>0.30687224547948438</v>
      </c>
      <c r="BH175" s="18">
        <f t="shared" si="8"/>
        <v>0.29653276066569495</v>
      </c>
      <c r="BJ175" s="18">
        <f t="shared" si="8"/>
        <v>0.28672625446467054</v>
      </c>
    </row>
    <row r="176" spans="2:62" ht="28.8" x14ac:dyDescent="0.3">
      <c r="B176" s="16" t="s">
        <v>122</v>
      </c>
      <c r="D176" s="4">
        <v>-4129</v>
      </c>
      <c r="F176" s="4">
        <v>-3465</v>
      </c>
      <c r="H176" s="4">
        <v>-3008</v>
      </c>
      <c r="J176" s="4">
        <v>-2713</v>
      </c>
      <c r="L176" s="4">
        <v>-4331</v>
      </c>
      <c r="N176" s="17">
        <f>L176+N38</f>
        <v>-4331</v>
      </c>
      <c r="O176" s="17"/>
      <c r="P176" s="17">
        <f>N176+P38</f>
        <v>-4331</v>
      </c>
      <c r="Q176" s="17"/>
      <c r="R176" s="17">
        <f>P176+R38</f>
        <v>-4331</v>
      </c>
      <c r="S176" s="17"/>
      <c r="T176" s="17">
        <f>R176+T38</f>
        <v>-4331</v>
      </c>
      <c r="U176" s="17"/>
      <c r="V176" s="17">
        <f>T176+V38</f>
        <v>-4331</v>
      </c>
      <c r="W176" s="17"/>
      <c r="X176" s="17">
        <f>V176+X38</f>
        <v>-4331</v>
      </c>
      <c r="Y176" s="17"/>
      <c r="Z176" s="17">
        <f>X176+Z38</f>
        <v>-4331</v>
      </c>
      <c r="AA176" s="17"/>
      <c r="AB176" s="17">
        <f>Z176+AB38</f>
        <v>-4331</v>
      </c>
      <c r="AC176" s="17"/>
      <c r="AD176" s="17">
        <f>AB176+AD38</f>
        <v>-4331</v>
      </c>
      <c r="AH176" s="16" t="s">
        <v>122</v>
      </c>
      <c r="AJ176" s="18">
        <f t="shared" si="8"/>
        <v>-7.3179377204331568E-3</v>
      </c>
      <c r="AL176" s="18">
        <f t="shared" si="8"/>
        <v>-5.5295788583374561E-3</v>
      </c>
      <c r="AN176" s="18">
        <f t="shared" si="8"/>
        <v>-3.1821865260636736E-3</v>
      </c>
      <c r="AP176" s="18">
        <f t="shared" si="8"/>
        <v>-2.6149800864398872E-3</v>
      </c>
      <c r="AR176" s="18">
        <f t="shared" si="8"/>
        <v>-4.4644375746692904E-3</v>
      </c>
      <c r="AT176" s="18">
        <f t="shared" si="8"/>
        <v>-4.0036772759445049E-3</v>
      </c>
      <c r="AV176" s="18">
        <f t="shared" si="8"/>
        <v>-3.6054338202293015E-3</v>
      </c>
      <c r="AX176" s="18">
        <f t="shared" si="8"/>
        <v>-3.2413786029466254E-3</v>
      </c>
      <c r="AZ176" s="18">
        <f t="shared" si="8"/>
        <v>-2.9989466896509138E-3</v>
      </c>
      <c r="BB176" s="18">
        <f t="shared" si="8"/>
        <v>-2.5116824334867264E-3</v>
      </c>
      <c r="BD176" s="18">
        <f t="shared" si="8"/>
        <v>-2.3486367649263413E-3</v>
      </c>
      <c r="BF176" s="18">
        <f t="shared" si="8"/>
        <v>-2.2918281834382742E-3</v>
      </c>
      <c r="BH176" s="18">
        <f t="shared" si="8"/>
        <v>-2.2146093308129757E-3</v>
      </c>
      <c r="BJ176" s="18">
        <f t="shared" si="8"/>
        <v>-2.1413709470110998E-3</v>
      </c>
    </row>
    <row r="177" spans="2:62" x14ac:dyDescent="0.3">
      <c r="B177" s="16" t="s">
        <v>123</v>
      </c>
      <c r="D177" s="4">
        <v>220393</v>
      </c>
      <c r="F177" s="4">
        <v>251528</v>
      </c>
      <c r="H177" s="4">
        <v>288269</v>
      </c>
      <c r="J177" s="4">
        <v>351139</v>
      </c>
      <c r="L177" s="4">
        <v>254480</v>
      </c>
      <c r="N177" s="17">
        <f>L177+N35-N183</f>
        <v>347499.40343727579</v>
      </c>
      <c r="O177" s="17"/>
      <c r="P177" s="17">
        <f>N177+P35-P183</f>
        <v>402383.93540086405</v>
      </c>
      <c r="Q177" s="17"/>
      <c r="R177" s="17">
        <f>P177+R35-R183</f>
        <v>473420.43150948558</v>
      </c>
      <c r="S177" s="17"/>
      <c r="T177" s="17">
        <f>R177+T35-T183</f>
        <v>548220.25850660796</v>
      </c>
      <c r="U177" s="17"/>
      <c r="V177" s="17">
        <f>T177+V35-V183</f>
        <v>476205.98279051576</v>
      </c>
      <c r="W177" s="17"/>
      <c r="X177" s="17">
        <f>V177+X35-X183</f>
        <v>571348.24565789546</v>
      </c>
      <c r="Y177" s="17"/>
      <c r="Z177" s="17">
        <f>X177+Z35-Z183</f>
        <v>633516.31296862941</v>
      </c>
      <c r="AA177" s="17"/>
      <c r="AB177" s="17">
        <f>Z177+AB35-AB183</f>
        <v>694868.66951704514</v>
      </c>
      <c r="AC177" s="17"/>
      <c r="AD177" s="17">
        <f>AB177+AD35-AD183</f>
        <v>755827.90803725005</v>
      </c>
      <c r="AH177" s="16" t="s">
        <v>123</v>
      </c>
      <c r="AJ177" s="18">
        <f t="shared" si="8"/>
        <v>0.39060843982064053</v>
      </c>
      <c r="AL177" s="18">
        <f t="shared" si="8"/>
        <v>0.4013979541356143</v>
      </c>
      <c r="AN177" s="18">
        <f t="shared" si="8"/>
        <v>0.30496201053252958</v>
      </c>
      <c r="AP177" s="18">
        <f t="shared" si="8"/>
        <v>0.33845244842330097</v>
      </c>
      <c r="AR177" s="18">
        <f t="shared" si="8"/>
        <v>0.26232049734514917</v>
      </c>
      <c r="AT177" s="18">
        <f t="shared" si="8"/>
        <v>0.3212365423565211</v>
      </c>
      <c r="AV177" s="18">
        <f t="shared" si="8"/>
        <v>0.33497313539857715</v>
      </c>
      <c r="AX177" s="18">
        <f t="shared" si="8"/>
        <v>0.35431421308995731</v>
      </c>
      <c r="AZ177" s="18">
        <f t="shared" si="8"/>
        <v>0.37960824969936735</v>
      </c>
      <c r="BB177" s="18">
        <f t="shared" si="8"/>
        <v>0.27616675171928445</v>
      </c>
      <c r="BD177" s="18">
        <f t="shared" si="8"/>
        <v>0.30983364011274533</v>
      </c>
      <c r="BF177" s="18">
        <f t="shared" si="8"/>
        <v>0.3352367907479582</v>
      </c>
      <c r="BH177" s="18">
        <f t="shared" si="8"/>
        <v>0.3553134701459354</v>
      </c>
      <c r="BJ177" s="18">
        <f t="shared" si="8"/>
        <v>0.37370305315427027</v>
      </c>
    </row>
    <row r="178" spans="2:62" ht="29.4" thickBot="1" x14ac:dyDescent="0.35">
      <c r="B178" s="19" t="s">
        <v>151</v>
      </c>
      <c r="C178" s="5"/>
      <c r="D178" s="5">
        <v>770</v>
      </c>
      <c r="E178" s="5"/>
      <c r="F178" s="5">
        <v>-453</v>
      </c>
      <c r="G178" s="5"/>
      <c r="H178" s="5">
        <v>0</v>
      </c>
      <c r="I178" s="5"/>
      <c r="J178" s="5">
        <v>0</v>
      </c>
      <c r="K178" s="5"/>
      <c r="L178" s="5">
        <v>0</v>
      </c>
      <c r="M178" s="5"/>
      <c r="N178" s="20">
        <f>L178</f>
        <v>0</v>
      </c>
      <c r="O178" s="20"/>
      <c r="P178" s="20">
        <f>N178</f>
        <v>0</v>
      </c>
      <c r="Q178" s="20"/>
      <c r="R178" s="20">
        <f>P178</f>
        <v>0</v>
      </c>
      <c r="S178" s="20"/>
      <c r="T178" s="20">
        <f>R178</f>
        <v>0</v>
      </c>
      <c r="U178" s="20"/>
      <c r="V178" s="20">
        <f>T178</f>
        <v>0</v>
      </c>
      <c r="W178" s="20"/>
      <c r="X178" s="20">
        <f>V178</f>
        <v>0</v>
      </c>
      <c r="Y178" s="20"/>
      <c r="Z178" s="20">
        <f>X178</f>
        <v>0</v>
      </c>
      <c r="AA178" s="20"/>
      <c r="AB178" s="20">
        <f>Z178</f>
        <v>0</v>
      </c>
      <c r="AC178" s="20"/>
      <c r="AD178" s="20">
        <f>AB178</f>
        <v>0</v>
      </c>
      <c r="AH178" s="16" t="s">
        <v>151</v>
      </c>
      <c r="AJ178" s="18">
        <f t="shared" si="8"/>
        <v>1.3646917037378374E-3</v>
      </c>
      <c r="AL178" s="18">
        <f t="shared" si="8"/>
        <v>-7.2291463862247257E-4</v>
      </c>
      <c r="AN178" s="18">
        <f t="shared" si="8"/>
        <v>0</v>
      </c>
      <c r="AP178" s="18">
        <f t="shared" si="8"/>
        <v>0</v>
      </c>
      <c r="AR178" s="18">
        <f t="shared" si="8"/>
        <v>0</v>
      </c>
      <c r="AT178" s="18">
        <f t="shared" si="8"/>
        <v>0</v>
      </c>
      <c r="AV178" s="18">
        <f t="shared" si="8"/>
        <v>0</v>
      </c>
      <c r="AX178" s="18">
        <f t="shared" si="8"/>
        <v>0</v>
      </c>
      <c r="AZ178" s="18">
        <f t="shared" si="8"/>
        <v>0</v>
      </c>
      <c r="BB178" s="18">
        <f t="shared" si="8"/>
        <v>0</v>
      </c>
      <c r="BD178" s="18">
        <f t="shared" si="8"/>
        <v>0</v>
      </c>
      <c r="BF178" s="18">
        <f t="shared" si="8"/>
        <v>0</v>
      </c>
      <c r="BH178" s="18">
        <f t="shared" si="8"/>
        <v>0</v>
      </c>
      <c r="BJ178" s="18">
        <f t="shared" si="8"/>
        <v>0</v>
      </c>
    </row>
    <row r="179" spans="2:62" s="6" customFormat="1" ht="15" thickBot="1" x14ac:dyDescent="0.35">
      <c r="B179" s="14" t="s">
        <v>190</v>
      </c>
      <c r="C179" s="25"/>
      <c r="D179" s="25">
        <f>SUM(D172:D178)</f>
        <v>442128</v>
      </c>
      <c r="E179" s="25"/>
      <c r="F179" s="25">
        <f>SUM(F172:F178)</f>
        <v>489165</v>
      </c>
      <c r="G179" s="25"/>
      <c r="H179" s="25">
        <f>SUM(H172:H178)</f>
        <v>553201</v>
      </c>
      <c r="I179" s="25"/>
      <c r="J179" s="25">
        <f>SUM(J172:J178)</f>
        <v>660017</v>
      </c>
      <c r="K179" s="25"/>
      <c r="L179" s="25">
        <f>SUM(L172:L178)</f>
        <v>596205</v>
      </c>
      <c r="M179" s="25"/>
      <c r="N179" s="26">
        <f>SUM(N172:N178)</f>
        <v>695561.46468727582</v>
      </c>
      <c r="O179" s="26"/>
      <c r="P179" s="26">
        <f>SUM(P172:P178)</f>
        <v>765123.75993586401</v>
      </c>
      <c r="Q179" s="26"/>
      <c r="R179" s="26">
        <f>SUM(R172:R178)</f>
        <v>850838.0193294856</v>
      </c>
      <c r="S179" s="26"/>
      <c r="T179" s="26">
        <f>SUM(T172:T178)</f>
        <v>940315.60961160797</v>
      </c>
      <c r="U179" s="26"/>
      <c r="V179" s="26">
        <f>SUM(V172:V178)</f>
        <v>1045410.1773955157</v>
      </c>
      <c r="W179" s="26"/>
      <c r="X179" s="26">
        <f>SUM(X172:X178)</f>
        <v>1140552.4402628955</v>
      </c>
      <c r="Y179" s="26"/>
      <c r="Z179" s="26">
        <f>SUM(Z172:Z178)</f>
        <v>1202720.5075736293</v>
      </c>
      <c r="AA179" s="26"/>
      <c r="AB179" s="26">
        <f>SUM(AB172:AB178)</f>
        <v>1264072.8641220452</v>
      </c>
      <c r="AC179" s="26"/>
      <c r="AD179" s="26">
        <f>SUM(AD172:AD178)</f>
        <v>1325032.10264225</v>
      </c>
      <c r="AH179" s="15" t="s">
        <v>124</v>
      </c>
      <c r="AJ179" s="18">
        <f t="shared" si="8"/>
        <v>0.78359534232493844</v>
      </c>
      <c r="AL179" s="18">
        <f t="shared" si="8"/>
        <v>0.78062812185819386</v>
      </c>
      <c r="AN179" s="18">
        <f t="shared" si="8"/>
        <v>0.58523562779419891</v>
      </c>
      <c r="AP179" s="18">
        <f t="shared" si="8"/>
        <v>0.63617077468182637</v>
      </c>
      <c r="AR179" s="18">
        <f t="shared" si="8"/>
        <v>0.61457400235643134</v>
      </c>
      <c r="AT179" s="18">
        <f t="shared" si="8"/>
        <v>0.64299321870032844</v>
      </c>
      <c r="AV179" s="18">
        <f t="shared" si="8"/>
        <v>0.63694368061273821</v>
      </c>
      <c r="AX179" s="18">
        <f t="shared" si="8"/>
        <v>0.63677860781068618</v>
      </c>
      <c r="AZ179" s="18">
        <f t="shared" si="8"/>
        <v>0.65110976325832659</v>
      </c>
      <c r="BB179" s="18">
        <f t="shared" si="8"/>
        <v>0.60626607673806499</v>
      </c>
      <c r="BD179" s="18">
        <f t="shared" si="8"/>
        <v>0.61850459328743734</v>
      </c>
      <c r="BF179" s="18">
        <f t="shared" si="8"/>
        <v>0.63644164305158846</v>
      </c>
      <c r="BH179" s="18">
        <f t="shared" si="8"/>
        <v>0.64636978982040272</v>
      </c>
      <c r="BJ179" s="18">
        <f t="shared" si="8"/>
        <v>0.65513397563037268</v>
      </c>
    </row>
    <row r="180" spans="2:62" s="6" customFormat="1" ht="28.8" x14ac:dyDescent="0.3">
      <c r="B180" s="15" t="s">
        <v>125</v>
      </c>
      <c r="D180" s="6">
        <f>SUM(D179,D169)</f>
        <v>564230</v>
      </c>
      <c r="F180" s="6">
        <f>SUM(F179,F169)</f>
        <v>626630</v>
      </c>
      <c r="H180" s="6">
        <f>SUM(H179,H169)</f>
        <v>945262</v>
      </c>
      <c r="J180" s="6">
        <f>SUM(J179,J169)</f>
        <v>1037484</v>
      </c>
      <c r="L180" s="6">
        <f>SUM(L179,L169)</f>
        <v>970111</v>
      </c>
      <c r="N180" s="21">
        <f>SUM(N179,N169)</f>
        <v>1081755.5216106365</v>
      </c>
      <c r="O180" s="21"/>
      <c r="P180" s="21">
        <f>SUM(P179,P169)</f>
        <v>1201242.4068636913</v>
      </c>
      <c r="Q180" s="21"/>
      <c r="R180" s="21">
        <f>SUM(R179,R169)</f>
        <v>1336159.8660714414</v>
      </c>
      <c r="S180" s="21"/>
      <c r="T180" s="21">
        <f>SUM(T179,T169)</f>
        <v>1444173.7210420836</v>
      </c>
      <c r="U180" s="21"/>
      <c r="V180" s="21">
        <f>SUM(V179,V169)</f>
        <v>1724342.1948003555</v>
      </c>
      <c r="W180" s="21"/>
      <c r="X180" s="21">
        <f>SUM(X179,X169)</f>
        <v>1844048.4559713642</v>
      </c>
      <c r="Y180" s="21"/>
      <c r="Z180" s="21">
        <f>SUM(Z179,Z169)</f>
        <v>1889757.718880346</v>
      </c>
      <c r="AA180" s="21"/>
      <c r="AB180" s="21">
        <f>SUM(AB179,AB169)</f>
        <v>1955649.6668467049</v>
      </c>
      <c r="AC180" s="21"/>
      <c r="AD180" s="21">
        <f>SUM(AD179,AD169)</f>
        <v>2022536.079535943</v>
      </c>
      <c r="AH180" s="15" t="s">
        <v>125</v>
      </c>
      <c r="AJ180" s="18">
        <f t="shared" si="8"/>
        <v>1</v>
      </c>
      <c r="AL180" s="18">
        <f t="shared" si="8"/>
        <v>1</v>
      </c>
      <c r="AN180" s="18">
        <f t="shared" si="8"/>
        <v>1</v>
      </c>
      <c r="AP180" s="18">
        <f t="shared" si="8"/>
        <v>1</v>
      </c>
      <c r="AR180" s="18">
        <f t="shared" si="8"/>
        <v>1</v>
      </c>
      <c r="AT180" s="18">
        <f t="shared" si="8"/>
        <v>1</v>
      </c>
      <c r="AV180" s="18">
        <f t="shared" si="8"/>
        <v>0.99999999999999978</v>
      </c>
      <c r="AX180" s="18">
        <f t="shared" si="8"/>
        <v>0.99999999999999978</v>
      </c>
      <c r="AZ180" s="18">
        <f t="shared" si="8"/>
        <v>0.99999999999999967</v>
      </c>
      <c r="BB180" s="18">
        <f t="shared" si="8"/>
        <v>1</v>
      </c>
      <c r="BD180" s="18">
        <f t="shared" si="8"/>
        <v>0.99999999999999989</v>
      </c>
      <c r="BF180" s="18">
        <f t="shared" si="8"/>
        <v>1</v>
      </c>
      <c r="BH180" s="18">
        <f t="shared" si="8"/>
        <v>1</v>
      </c>
      <c r="BJ180" s="18">
        <f t="shared" si="8"/>
        <v>0.99999999999999989</v>
      </c>
    </row>
    <row r="181" spans="2:62" x14ac:dyDescent="0.3">
      <c r="B181" s="16" t="s">
        <v>201</v>
      </c>
      <c r="D181" s="4" t="str">
        <f>IF(ABS(D180-D146)&lt;1,"OK",D180-D146)</f>
        <v>OK</v>
      </c>
      <c r="F181" s="4" t="str">
        <f>IF(ABS(F180-F146)&lt;1,"OK",F180-F146)</f>
        <v>OK</v>
      </c>
      <c r="H181" s="4" t="str">
        <f>IF(ABS(H180-H146)&lt;1,"OK",H180-H146)</f>
        <v>OK</v>
      </c>
      <c r="J181" s="4" t="str">
        <f>IF(ABS(J180-J146)&lt;1,"OK",J180-J146)</f>
        <v>OK</v>
      </c>
      <c r="L181" s="4" t="str">
        <f>IF(ABS(L180-L146)&lt;1,"OK",L180-L146)</f>
        <v>OK</v>
      </c>
      <c r="N181" s="17" t="str">
        <f>IF(ABS(N180-N146)&lt;1,"OK",N180-N146)</f>
        <v>OK</v>
      </c>
      <c r="O181" s="17"/>
      <c r="P181" s="17" t="str">
        <f>IF(ABS(P180-P146)&lt;1,"OK",P180-P146)</f>
        <v>OK</v>
      </c>
      <c r="Q181" s="17"/>
      <c r="R181" s="17" t="str">
        <f>IF(ABS(R180-R146)&lt;1,"OK",R180-R146)</f>
        <v>OK</v>
      </c>
      <c r="S181" s="17"/>
      <c r="T181" s="17" t="str">
        <f>IF(ABS(T180-T146)&lt;1,"OK",T180-T146)</f>
        <v>OK</v>
      </c>
      <c r="U181" s="17"/>
      <c r="V181" s="17" t="str">
        <f>IF(ABS(V180-V146)&lt;1,"OK",V180-V146)</f>
        <v>OK</v>
      </c>
      <c r="W181" s="17"/>
      <c r="X181" s="17" t="str">
        <f>IF(ABS(X180-X146)&lt;1,"OK",X180-X146)</f>
        <v>OK</v>
      </c>
      <c r="Y181" s="17"/>
      <c r="Z181" s="17" t="str">
        <f>IF(ABS(Z180-Z146)&lt;1,"OK",Z180-Z146)</f>
        <v>OK</v>
      </c>
      <c r="AA181" s="17"/>
      <c r="AB181" s="17" t="str">
        <f>IF(ABS(AB180-AB146)&lt;1,"OK",AB180-AB146)</f>
        <v>OK</v>
      </c>
      <c r="AC181" s="17"/>
      <c r="AD181" s="17" t="str">
        <f>IF(ABS(AD180-AD146)&lt;1,"OK",AD180-AD146)</f>
        <v>OK</v>
      </c>
    </row>
    <row r="183" spans="2:62" s="6" customFormat="1" x14ac:dyDescent="0.3">
      <c r="B183" s="15" t="s">
        <v>224</v>
      </c>
      <c r="D183" s="6">
        <v>0</v>
      </c>
      <c r="F183" s="6">
        <v>0</v>
      </c>
      <c r="H183" s="6">
        <v>0</v>
      </c>
      <c r="J183" s="6">
        <v>0</v>
      </c>
      <c r="L183" s="6">
        <v>0</v>
      </c>
      <c r="N183" s="97">
        <f>N184*N35</f>
        <v>0</v>
      </c>
      <c r="O183" s="60"/>
      <c r="P183" s="97">
        <f>P184*P35</f>
        <v>82326.797945382466</v>
      </c>
      <c r="Q183" s="60"/>
      <c r="R183" s="97">
        <f>R184*R35</f>
        <v>106554.74416293229</v>
      </c>
      <c r="S183" s="60"/>
      <c r="T183" s="97">
        <f>T184*T35</f>
        <v>112199.7404956836</v>
      </c>
      <c r="U183" s="60"/>
      <c r="V183" s="97">
        <f>V184*V35</f>
        <v>112022.2066694767</v>
      </c>
      <c r="W183" s="60"/>
      <c r="X183" s="97">
        <f>X184*X35</f>
        <v>116284.98794901965</v>
      </c>
      <c r="Y183" s="60"/>
      <c r="Z183" s="97">
        <f>Z184*Z35</f>
        <v>115454.98214850578</v>
      </c>
      <c r="AA183" s="60"/>
      <c r="AB183" s="97">
        <f>AB184*AB35</f>
        <v>113940.09073277196</v>
      </c>
      <c r="AC183" s="60"/>
      <c r="AD183" s="97">
        <f>AD184*AD35</f>
        <v>113210.0143946664</v>
      </c>
      <c r="AH183" s="15"/>
    </row>
    <row r="184" spans="2:62" x14ac:dyDescent="0.3">
      <c r="B184" s="15" t="s">
        <v>340</v>
      </c>
      <c r="N184" s="38"/>
      <c r="O184" s="38"/>
      <c r="P184" s="57">
        <v>0.6</v>
      </c>
      <c r="Q184" s="38"/>
      <c r="R184" s="57">
        <v>0.6</v>
      </c>
      <c r="S184" s="38"/>
      <c r="T184" s="57">
        <v>0.6</v>
      </c>
      <c r="U184" s="38"/>
      <c r="V184" s="57">
        <v>2.8</v>
      </c>
      <c r="W184" s="38"/>
      <c r="X184" s="57">
        <v>0.55000000000000004</v>
      </c>
      <c r="Y184" s="38"/>
      <c r="Z184" s="57">
        <v>0.65</v>
      </c>
      <c r="AA184" s="38"/>
      <c r="AB184" s="57">
        <v>0.65</v>
      </c>
      <c r="AC184" s="38"/>
      <c r="AD184" s="57">
        <v>0.65</v>
      </c>
    </row>
    <row r="185" spans="2:62" x14ac:dyDescent="0.3">
      <c r="B185" s="15" t="s">
        <v>207</v>
      </c>
      <c r="D185" s="4">
        <f>SUM(D131,D132,D134,D135,)-SUM(D150,D151,D152,D154,D155,D157,D158)</f>
        <v>62980</v>
      </c>
      <c r="F185" s="4">
        <f>SUM(F131,F132,F134,F135,)-SUM(F150,F151,F152,F154,F155,F157,F158)</f>
        <v>37126</v>
      </c>
      <c r="H185" s="4">
        <f>SUM(H131,H132,H134,H135,)-SUM(H150,H151,H152,H154,H155,H157,H158)</f>
        <v>59276</v>
      </c>
      <c r="J185" s="4">
        <f>SUM(J131,J132,J134,J135,)-SUM(J150,J151,J152,J154,J155,J157,J158)</f>
        <v>117561</v>
      </c>
      <c r="L185" s="4">
        <f>SUM(L131,L132,L134,L135,)-SUM(L150,L151,L152,L154,L155,L157,L158)</f>
        <v>152849</v>
      </c>
      <c r="N185" s="17">
        <f>SUM(N131,N132,N134,N135,)-SUM(N150,N151,N152,N154,N155,N157,N158)</f>
        <v>140235.83837713997</v>
      </c>
      <c r="O185" s="17"/>
      <c r="P185" s="17">
        <f>SUM(P131,P132,P134,P135,)-SUM(P150,P151,P152,P154,P155,P157,P158)</f>
        <v>190932.53532923982</v>
      </c>
      <c r="Q185" s="17"/>
      <c r="R185" s="17">
        <f>SUM(R131,R132,R134,R135,)-SUM(R150,R151,R152,R154,R155,R157,R158)</f>
        <v>240896.68545700889</v>
      </c>
      <c r="S185" s="17"/>
      <c r="T185" s="17">
        <f>SUM(T131,T132,T134,T135,)-SUM(T150,T151,T152,T154,T155,T157,T158)</f>
        <v>259719.62207909694</v>
      </c>
      <c r="U185" s="17"/>
      <c r="V185" s="17">
        <f>SUM(V131,V132,V134,V135,)-SUM(V150,V151,V152,V154,V155,V157,V158)</f>
        <v>283245.83046842943</v>
      </c>
      <c r="W185" s="17"/>
      <c r="X185" s="17">
        <f>SUM(X131,X132,X134,X135,)-SUM(X150,X151,X152,X154,X155,X157,X158)</f>
        <v>308189.72240263579</v>
      </c>
      <c r="Y185" s="17"/>
      <c r="Z185" s="17">
        <f>SUM(Z131,Z132,Z134,Z135,)-SUM(Z150,Z151,Z152,Z154,Z155,Z157,Z158)</f>
        <v>291476.37495451741</v>
      </c>
      <c r="AA185" s="17"/>
      <c r="AB185" s="17">
        <f>SUM(AB131,AB132,AB134,AB135,)-SUM(AB150,AB151,AB152,AB154,AB155,AB157,AB158)</f>
        <v>296086.17325994617</v>
      </c>
      <c r="AC185" s="17"/>
      <c r="AD185" s="17">
        <f>SUM(AD131,AD132,AD134,AD135,)-SUM(AD150,AD151,AD152,AD154,AD155,AD157,AD158)</f>
        <v>302105.01392749924</v>
      </c>
    </row>
  </sheetData>
  <sheetProtection algorithmName="SHA-512" hashValue="feD0iPRbcaz9F5BVP//r0eqik8ytedkjk7nEDJvqWWS29DSRuGw5uTUpxmghGOwnlKlzeJYRY5MVt3kFMO1Qqw==" saltValue="1eVgDq3DOI7f8aQugyn3L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34"/>
  <sheetViews>
    <sheetView zoomScale="90" zoomScaleNormal="90" workbookViewId="0">
      <pane xSplit="2" ySplit="3" topLeftCell="C9" activePane="bottomRight" state="frozen"/>
      <selection pane="topRight" activeCell="C1" sqref="C1"/>
      <selection pane="bottomLeft" activeCell="A5" sqref="A5"/>
      <selection pane="bottomRight" activeCell="Z32" sqref="Z32"/>
    </sheetView>
  </sheetViews>
  <sheetFormatPr defaultRowHeight="14.4" x14ac:dyDescent="0.3"/>
  <cols>
    <col min="1" max="1" width="8.88671875" style="4"/>
    <col min="2" max="2" width="25.6640625" style="16" customWidth="1"/>
    <col min="3" max="3" width="3.6640625" style="4" customWidth="1"/>
    <col min="4" max="4" width="8.88671875" style="4"/>
    <col min="5" max="5" width="3.6640625" style="4" customWidth="1"/>
    <col min="6" max="6" width="8.88671875" style="4"/>
    <col min="7" max="7" width="3.6640625" style="4" customWidth="1"/>
    <col min="8" max="8" width="8.88671875" style="4"/>
    <col min="9" max="9" width="3.6640625" style="4" customWidth="1"/>
    <col min="10" max="10" width="8.88671875" style="4"/>
    <col min="11" max="11" width="3.6640625" style="4" customWidth="1"/>
    <col min="12" max="12" width="8.88671875" style="4"/>
    <col min="13" max="13" width="3.6640625" style="4" customWidth="1"/>
    <col min="14" max="14" width="13.109375" style="4" bestFit="1" customWidth="1"/>
    <col min="15" max="15" width="3.6640625" style="4" customWidth="1"/>
    <col min="16" max="16" width="9.44140625" style="4" bestFit="1" customWidth="1"/>
    <col min="17" max="17" width="3.6640625" style="4" customWidth="1"/>
    <col min="18" max="18" width="9.44140625" style="4" bestFit="1" customWidth="1"/>
    <col min="19" max="19" width="3.6640625" style="4" customWidth="1"/>
    <col min="20" max="20" width="9.44140625" style="4" bestFit="1" customWidth="1"/>
    <col min="21" max="21" width="3.6640625" style="4" customWidth="1"/>
    <col min="22" max="22" width="9.44140625" style="4" bestFit="1" customWidth="1"/>
    <col min="23" max="23" width="3.6640625" style="4" customWidth="1"/>
    <col min="24" max="24" width="9.6640625" style="4" customWidth="1"/>
    <col min="25" max="25" width="3.6640625" style="4" customWidth="1"/>
    <col min="26" max="26" width="9.33203125" style="4" bestFit="1" customWidth="1"/>
    <col min="27" max="27" width="3.6640625" style="4" customWidth="1"/>
    <col min="28" max="28" width="9.33203125" style="4" bestFit="1" customWidth="1"/>
    <col min="29" max="29" width="3.6640625" style="4" customWidth="1"/>
    <col min="30" max="30" width="9.33203125" style="4" bestFit="1" customWidth="1"/>
    <col min="31" max="16384" width="8.88671875" style="4"/>
  </cols>
  <sheetData>
    <row r="1" spans="1:31" ht="25.8" x14ac:dyDescent="0.5">
      <c r="B1" s="2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1" x14ac:dyDescent="0.3">
      <c r="B3" s="10"/>
      <c r="C3" s="1"/>
      <c r="D3" s="1">
        <v>2012</v>
      </c>
      <c r="E3" s="1"/>
      <c r="F3" s="1">
        <v>2013</v>
      </c>
      <c r="G3" s="1"/>
      <c r="H3" s="1">
        <v>2014</v>
      </c>
      <c r="I3" s="1"/>
      <c r="J3" s="1">
        <v>2015</v>
      </c>
      <c r="K3" s="1"/>
      <c r="L3" s="1">
        <v>2016</v>
      </c>
      <c r="M3" s="1"/>
      <c r="N3" s="1" t="s">
        <v>0</v>
      </c>
      <c r="O3" s="1"/>
      <c r="P3" s="1" t="s">
        <v>6</v>
      </c>
      <c r="Q3" s="1"/>
      <c r="R3" s="1" t="s">
        <v>7</v>
      </c>
      <c r="S3" s="1"/>
      <c r="T3" s="1" t="s">
        <v>8</v>
      </c>
      <c r="U3" s="1"/>
      <c r="V3" s="1" t="s">
        <v>9</v>
      </c>
      <c r="W3" s="1"/>
      <c r="X3" s="1" t="s">
        <v>10</v>
      </c>
      <c r="Y3" s="1"/>
      <c r="Z3" s="1" t="s">
        <v>11</v>
      </c>
      <c r="AA3" s="1"/>
      <c r="AB3" s="1" t="s">
        <v>12</v>
      </c>
      <c r="AC3" s="1"/>
      <c r="AD3" s="1" t="s">
        <v>13</v>
      </c>
    </row>
    <row r="4" spans="1:31" x14ac:dyDescent="0.3"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spans="1:31" x14ac:dyDescent="0.3">
      <c r="B5" s="39" t="s">
        <v>270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spans="1:31" ht="28.8" x14ac:dyDescent="0.3">
      <c r="B6" s="39" t="s">
        <v>271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1" x14ac:dyDescent="0.3">
      <c r="B7" s="39" t="s">
        <v>272</v>
      </c>
      <c r="C7" s="13"/>
      <c r="D7" s="13"/>
      <c r="E7" s="13"/>
      <c r="F7" s="13"/>
      <c r="G7" s="13"/>
      <c r="H7" s="13"/>
      <c r="I7" s="13"/>
      <c r="J7" s="13"/>
      <c r="K7" s="13"/>
      <c r="L7" s="88"/>
      <c r="M7" s="13"/>
      <c r="N7" s="88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spans="1:31" x14ac:dyDescent="0.3">
      <c r="B8" s="39" t="s">
        <v>273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40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spans="1:31" x14ac:dyDescent="0.3">
      <c r="B9" s="39" t="s">
        <v>274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40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spans="1:31" x14ac:dyDescent="0.3">
      <c r="B10" s="15" t="s">
        <v>275</v>
      </c>
    </row>
    <row r="11" spans="1:31" x14ac:dyDescent="0.3">
      <c r="B11" s="15" t="s">
        <v>276</v>
      </c>
    </row>
    <row r="12" spans="1:31" x14ac:dyDescent="0.3">
      <c r="D12" s="4">
        <v>1</v>
      </c>
      <c r="F12" s="4">
        <v>2</v>
      </c>
      <c r="H12" s="4">
        <v>3</v>
      </c>
      <c r="J12" s="4">
        <v>4</v>
      </c>
      <c r="L12" s="4">
        <v>5</v>
      </c>
      <c r="N12" s="4">
        <v>6</v>
      </c>
      <c r="P12" s="4">
        <v>7</v>
      </c>
      <c r="R12" s="4">
        <v>8</v>
      </c>
      <c r="T12" s="4">
        <v>9</v>
      </c>
      <c r="V12" s="4">
        <v>10</v>
      </c>
      <c r="X12" s="4">
        <v>11</v>
      </c>
      <c r="Z12" s="4">
        <v>12</v>
      </c>
      <c r="AB12" s="4">
        <v>13</v>
      </c>
      <c r="AD12" s="4">
        <v>14</v>
      </c>
      <c r="AE12" s="6" t="s">
        <v>339</v>
      </c>
    </row>
    <row r="13" spans="1:31" s="6" customFormat="1" x14ac:dyDescent="0.3">
      <c r="A13" s="6">
        <v>1</v>
      </c>
      <c r="B13" s="15" t="s">
        <v>2</v>
      </c>
      <c r="F13" s="91">
        <f>F14/F31</f>
        <v>0.78087012156110047</v>
      </c>
      <c r="H13" s="91">
        <f>H14/H31</f>
        <v>0.60797446509718989</v>
      </c>
      <c r="J13" s="91">
        <f>J14/J31</f>
        <v>0.600658858727528</v>
      </c>
      <c r="L13" s="91">
        <f>L14/L31</f>
        <v>0.48494011645273355</v>
      </c>
      <c r="N13" s="91">
        <f>N14/N31</f>
        <v>0.5082542443417859</v>
      </c>
      <c r="P13" s="91">
        <f>P14/P31</f>
        <v>0.30474580964340425</v>
      </c>
      <c r="R13" s="91">
        <f>R14/R31</f>
        <v>0.29354970724834856</v>
      </c>
      <c r="T13" s="91">
        <f>T14/T31</f>
        <v>0.2722749668543194</v>
      </c>
      <c r="V13" s="91">
        <f>V14/V31</f>
        <v>0.24965999102636174</v>
      </c>
      <c r="X13" s="91">
        <f>X14/X31</f>
        <v>0.22945330863634825</v>
      </c>
      <c r="Z13" s="91">
        <f>Z14/Z31</f>
        <v>8.5971025464965906E-2</v>
      </c>
      <c r="AB13" s="91">
        <f>AB14/AB31</f>
        <v>4.2316266541178309E-2</v>
      </c>
      <c r="AD13" s="91">
        <f>AD14/AD31</f>
        <v>0</v>
      </c>
    </row>
    <row r="14" spans="1:31" x14ac:dyDescent="0.3">
      <c r="B14" s="16" t="s">
        <v>126</v>
      </c>
      <c r="D14" s="4">
        <v>215300</v>
      </c>
      <c r="F14" s="4">
        <v>244100</v>
      </c>
      <c r="H14" s="4">
        <v>245905</v>
      </c>
      <c r="J14" s="4">
        <v>293921</v>
      </c>
      <c r="L14" s="4">
        <v>237030</v>
      </c>
      <c r="N14" s="41">
        <f>L14*(1+N34)</f>
        <v>284436</v>
      </c>
      <c r="O14" s="41"/>
      <c r="P14" s="41">
        <f>P15+P16+P17</f>
        <v>232200</v>
      </c>
      <c r="Q14" s="41"/>
      <c r="R14" s="41">
        <f>R15+R16+R17</f>
        <v>282200</v>
      </c>
      <c r="S14" s="41"/>
      <c r="T14" s="41">
        <f>T15+T16+T17</f>
        <v>282200</v>
      </c>
      <c r="U14" s="41"/>
      <c r="V14" s="41">
        <f>V15+V16+V17</f>
        <v>282200</v>
      </c>
      <c r="W14" s="41"/>
      <c r="X14" s="41">
        <f>X15+X16+X17</f>
        <v>282200</v>
      </c>
      <c r="Y14" s="41"/>
      <c r="Z14" s="41">
        <f>Z15+Z16+Z17</f>
        <v>100000</v>
      </c>
      <c r="AA14" s="41"/>
      <c r="AB14" s="41">
        <f>AB15+AB16+AB17</f>
        <v>50000</v>
      </c>
      <c r="AC14" s="41"/>
      <c r="AD14" s="41">
        <f>AD15+AD16+AD17</f>
        <v>0</v>
      </c>
      <c r="AE14" s="4" t="s">
        <v>329</v>
      </c>
    </row>
    <row r="15" spans="1:31" x14ac:dyDescent="0.3">
      <c r="B15" s="51" t="s">
        <v>332</v>
      </c>
      <c r="N15" s="41"/>
      <c r="O15" s="41"/>
      <c r="P15" s="41">
        <f>911000/5</f>
        <v>182200</v>
      </c>
      <c r="Q15" s="41"/>
      <c r="R15" s="41">
        <f>911000/5</f>
        <v>182200</v>
      </c>
      <c r="S15" s="41"/>
      <c r="T15" s="41">
        <f>911000/5</f>
        <v>182200</v>
      </c>
      <c r="U15" s="41"/>
      <c r="V15" s="41">
        <f>911000/5</f>
        <v>182200</v>
      </c>
      <c r="W15" s="41"/>
      <c r="X15" s="41">
        <f>911000/5</f>
        <v>182200</v>
      </c>
      <c r="Y15" s="41"/>
      <c r="Z15" s="41">
        <v>0</v>
      </c>
      <c r="AA15" s="41"/>
      <c r="AB15" s="41">
        <v>0</v>
      </c>
      <c r="AC15" s="41"/>
      <c r="AD15" s="41">
        <v>0</v>
      </c>
    </row>
    <row r="16" spans="1:31" x14ac:dyDescent="0.3">
      <c r="B16" s="51" t="s">
        <v>328</v>
      </c>
      <c r="N16" s="41"/>
      <c r="O16" s="41"/>
      <c r="P16" s="41">
        <v>50000</v>
      </c>
      <c r="Q16" s="41"/>
      <c r="R16" s="41">
        <v>50000</v>
      </c>
      <c r="S16" s="41"/>
      <c r="T16" s="41">
        <v>50000</v>
      </c>
      <c r="U16" s="41"/>
      <c r="V16" s="41">
        <v>50000</v>
      </c>
      <c r="W16" s="41"/>
      <c r="X16" s="41">
        <v>50000</v>
      </c>
      <c r="Y16" s="41"/>
      <c r="Z16" s="41">
        <v>50000</v>
      </c>
      <c r="AA16" s="41"/>
      <c r="AB16" s="41">
        <v>0</v>
      </c>
      <c r="AC16" s="41"/>
      <c r="AD16" s="41">
        <v>0</v>
      </c>
    </row>
    <row r="17" spans="2:32" x14ac:dyDescent="0.3">
      <c r="B17" s="51" t="s">
        <v>328</v>
      </c>
      <c r="N17" s="41"/>
      <c r="O17" s="41"/>
      <c r="P17" s="41"/>
      <c r="Q17" s="41"/>
      <c r="R17" s="41">
        <v>50000</v>
      </c>
      <c r="S17" s="41"/>
      <c r="T17" s="41">
        <v>50000</v>
      </c>
      <c r="U17" s="41"/>
      <c r="V17" s="41">
        <v>50000</v>
      </c>
      <c r="W17" s="41"/>
      <c r="X17" s="41">
        <v>50000</v>
      </c>
      <c r="Y17" s="41"/>
      <c r="Z17" s="41">
        <v>50000</v>
      </c>
      <c r="AA17" s="41"/>
      <c r="AB17" s="41">
        <v>50000</v>
      </c>
      <c r="AC17" s="41"/>
      <c r="AD17" s="41">
        <v>0</v>
      </c>
    </row>
    <row r="18" spans="2:32" x14ac:dyDescent="0.3">
      <c r="B18" s="16" t="s">
        <v>54</v>
      </c>
      <c r="D18" s="4">
        <v>546</v>
      </c>
      <c r="F18" s="4">
        <f>2500+9900+1300</f>
        <v>13700</v>
      </c>
      <c r="H18" s="4">
        <v>35940</v>
      </c>
      <c r="J18" s="4">
        <v>35048</v>
      </c>
      <c r="L18" s="4">
        <v>59248</v>
      </c>
      <c r="N18" s="42">
        <f>SUM(N19:N26)</f>
        <v>108100</v>
      </c>
      <c r="O18" s="43"/>
      <c r="P18" s="42">
        <f>SUM(P19:P26)</f>
        <v>312520</v>
      </c>
      <c r="Q18" s="43"/>
      <c r="R18" s="42">
        <f>SUM(R19:R26)</f>
        <v>407282</v>
      </c>
      <c r="S18" s="43"/>
      <c r="T18" s="42">
        <f>SUM(T19:T26)</f>
        <v>434351.1</v>
      </c>
      <c r="U18" s="43"/>
      <c r="V18" s="42">
        <f>SUM(V19:V26)</f>
        <v>487523.65500000003</v>
      </c>
      <c r="W18" s="43"/>
      <c r="X18" s="42">
        <f>SUM(X19:X26)</f>
        <v>551004.83774999995</v>
      </c>
      <c r="Y18" s="43"/>
      <c r="Z18" s="42">
        <f>SUM(Z19:Z26)</f>
        <v>626840.07963749999</v>
      </c>
      <c r="AA18" s="43"/>
      <c r="AB18" s="42">
        <f>SUM(AB19:AB26)</f>
        <v>673419.08361937501</v>
      </c>
      <c r="AC18" s="43"/>
      <c r="AD18" s="42">
        <f>SUM(AD19:AD26)</f>
        <v>724530.23780034389</v>
      </c>
    </row>
    <row r="19" spans="2:32" x14ac:dyDescent="0.3">
      <c r="B19" s="51" t="s">
        <v>132</v>
      </c>
      <c r="N19" s="42">
        <v>0</v>
      </c>
      <c r="O19" s="43"/>
      <c r="P19" s="42">
        <v>104000</v>
      </c>
      <c r="Q19" s="43"/>
      <c r="R19" s="42">
        <v>255000</v>
      </c>
      <c r="S19" s="43"/>
      <c r="T19" s="42">
        <f>R19*(1+T36)</f>
        <v>255000</v>
      </c>
      <c r="U19" s="43"/>
      <c r="V19" s="42">
        <f>T19*(1+V36)</f>
        <v>306000</v>
      </c>
      <c r="W19" s="43"/>
      <c r="X19" s="42">
        <f>V19*(1+X36)</f>
        <v>367200</v>
      </c>
      <c r="Y19" s="43"/>
      <c r="Z19" s="42">
        <f>X19*(1+Z36)</f>
        <v>440640</v>
      </c>
      <c r="AA19" s="43"/>
      <c r="AB19" s="42">
        <f>Z19*(1+AB36)</f>
        <v>484704.00000000006</v>
      </c>
      <c r="AC19" s="43"/>
      <c r="AD19" s="42">
        <f>AB19*(1+AD36)</f>
        <v>533174.40000000014</v>
      </c>
      <c r="AE19" s="4" t="s">
        <v>331</v>
      </c>
      <c r="AF19" s="17"/>
    </row>
    <row r="20" spans="2:32" x14ac:dyDescent="0.3">
      <c r="B20" s="51" t="s">
        <v>316</v>
      </c>
      <c r="N20" s="42">
        <v>0</v>
      </c>
      <c r="O20" s="43"/>
      <c r="P20" s="42">
        <v>80000</v>
      </c>
      <c r="Q20" s="43"/>
      <c r="R20" s="42">
        <v>20000</v>
      </c>
      <c r="S20" s="43"/>
      <c r="T20" s="42">
        <v>45000</v>
      </c>
      <c r="U20" s="43"/>
      <c r="V20" s="42">
        <v>45000</v>
      </c>
      <c r="W20" s="43"/>
      <c r="X20" s="42">
        <v>45000</v>
      </c>
      <c r="Y20" s="43"/>
      <c r="Z20" s="42">
        <v>45000</v>
      </c>
      <c r="AA20" s="43"/>
      <c r="AB20" s="42">
        <v>45000</v>
      </c>
      <c r="AC20" s="43"/>
      <c r="AD20" s="42">
        <v>45000</v>
      </c>
      <c r="AE20" s="4" t="s">
        <v>320</v>
      </c>
    </row>
    <row r="21" spans="2:32" x14ac:dyDescent="0.3">
      <c r="B21" s="51" t="s">
        <v>134</v>
      </c>
      <c r="N21" s="42">
        <v>9000</v>
      </c>
      <c r="O21" s="43"/>
      <c r="P21" s="42">
        <f>130000/5</f>
        <v>26000</v>
      </c>
      <c r="Q21" s="43"/>
      <c r="R21" s="42">
        <f>130000/5</f>
        <v>26000</v>
      </c>
      <c r="S21" s="43"/>
      <c r="T21" s="42">
        <f>130000/5</f>
        <v>26000</v>
      </c>
      <c r="U21" s="43"/>
      <c r="V21" s="42">
        <f>130000/5</f>
        <v>26000</v>
      </c>
      <c r="W21" s="43"/>
      <c r="X21" s="42">
        <f>130000/5</f>
        <v>26000</v>
      </c>
      <c r="Y21" s="43"/>
      <c r="Z21" s="42">
        <f>130000/5</f>
        <v>26000</v>
      </c>
      <c r="AA21" s="43"/>
      <c r="AB21" s="42">
        <f>130000/5</f>
        <v>26000</v>
      </c>
      <c r="AC21" s="43"/>
      <c r="AD21" s="42">
        <f>130000/5</f>
        <v>26000</v>
      </c>
      <c r="AE21" s="4" t="s">
        <v>327</v>
      </c>
    </row>
    <row r="22" spans="2:32" x14ac:dyDescent="0.3">
      <c r="B22" s="51" t="s">
        <v>317</v>
      </c>
      <c r="N22" s="42">
        <f>130000/4</f>
        <v>32500</v>
      </c>
      <c r="O22" s="43"/>
      <c r="P22" s="42">
        <f>130000/4</f>
        <v>32500</v>
      </c>
      <c r="Q22" s="43"/>
      <c r="R22" s="42">
        <f>130000/4</f>
        <v>32500</v>
      </c>
      <c r="S22" s="43"/>
      <c r="T22" s="42">
        <f>130000/4</f>
        <v>32500</v>
      </c>
      <c r="U22" s="43"/>
      <c r="V22" s="42">
        <f>130000/4</f>
        <v>32500</v>
      </c>
      <c r="W22" s="43"/>
      <c r="X22" s="42">
        <f>130000/4</f>
        <v>32500</v>
      </c>
      <c r="Y22" s="43"/>
      <c r="Z22" s="42">
        <f>130000/4</f>
        <v>32500</v>
      </c>
      <c r="AA22" s="43"/>
      <c r="AB22" s="42">
        <f>130000/4</f>
        <v>32500</v>
      </c>
      <c r="AC22" s="43"/>
      <c r="AD22" s="42">
        <f>130000/4</f>
        <v>32500</v>
      </c>
      <c r="AE22" s="4" t="s">
        <v>321</v>
      </c>
    </row>
    <row r="23" spans="2:32" x14ac:dyDescent="0.3">
      <c r="B23" s="51" t="s">
        <v>135</v>
      </c>
      <c r="N23" s="42">
        <f>53000/5</f>
        <v>10600</v>
      </c>
      <c r="O23" s="43"/>
      <c r="P23" s="42">
        <f>53000/5</f>
        <v>10600</v>
      </c>
      <c r="Q23" s="43"/>
      <c r="R23" s="42">
        <f>53000/5</f>
        <v>10600</v>
      </c>
      <c r="S23" s="43"/>
      <c r="T23" s="42">
        <f>53000/5</f>
        <v>10600</v>
      </c>
      <c r="U23" s="43"/>
      <c r="V23" s="42">
        <f>53000/5</f>
        <v>10600</v>
      </c>
      <c r="W23" s="43"/>
      <c r="X23" s="42">
        <f>53000/5</f>
        <v>10600</v>
      </c>
      <c r="Y23" s="43"/>
      <c r="Z23" s="42">
        <f>53000/5</f>
        <v>10600</v>
      </c>
      <c r="AA23" s="43"/>
      <c r="AB23" s="42">
        <f>53000/5</f>
        <v>10600</v>
      </c>
      <c r="AC23" s="43"/>
      <c r="AD23" s="42">
        <f>53000/5</f>
        <v>10600</v>
      </c>
      <c r="AE23" s="4" t="s">
        <v>325</v>
      </c>
    </row>
    <row r="24" spans="2:32" x14ac:dyDescent="0.3">
      <c r="B24" s="51" t="s">
        <v>138</v>
      </c>
      <c r="N24" s="42">
        <f>(11600+22000)/2</f>
        <v>16800</v>
      </c>
      <c r="O24" s="43"/>
      <c r="P24" s="42">
        <f>(11600+22000)/2</f>
        <v>16800</v>
      </c>
      <c r="Q24" s="43"/>
      <c r="R24" s="42">
        <f>(11600+22000)/2</f>
        <v>16800</v>
      </c>
      <c r="S24" s="43"/>
      <c r="T24" s="42">
        <f>(11600+22000)/2</f>
        <v>16800</v>
      </c>
      <c r="U24" s="43"/>
      <c r="V24" s="42">
        <f>(11600+22000)/2</f>
        <v>16800</v>
      </c>
      <c r="W24" s="43"/>
      <c r="X24" s="42">
        <f>(11600+22000)/2</f>
        <v>16800</v>
      </c>
      <c r="Y24" s="43"/>
      <c r="Z24" s="42">
        <f>(11600+22000)/2</f>
        <v>16800</v>
      </c>
      <c r="AA24" s="43"/>
      <c r="AB24" s="42">
        <f>(11600+22000)/2</f>
        <v>16800</v>
      </c>
      <c r="AC24" s="43"/>
      <c r="AD24" s="42">
        <f>(11600+22000)/2</f>
        <v>16800</v>
      </c>
      <c r="AE24" s="4" t="s">
        <v>330</v>
      </c>
    </row>
    <row r="25" spans="2:32" x14ac:dyDescent="0.3">
      <c r="B25" s="51" t="s">
        <v>318</v>
      </c>
      <c r="N25" s="42">
        <f>171000/5</f>
        <v>34200</v>
      </c>
      <c r="O25" s="43"/>
      <c r="P25" s="42">
        <f>N25*(1+P42)</f>
        <v>37620</v>
      </c>
      <c r="Q25" s="43"/>
      <c r="R25" s="42">
        <f>P25*(1+R42)</f>
        <v>41382</v>
      </c>
      <c r="S25" s="43"/>
      <c r="T25" s="42">
        <f>R25*(1+T42)</f>
        <v>43451.1</v>
      </c>
      <c r="U25" s="43"/>
      <c r="V25" s="42">
        <f>T25*(1+V42)</f>
        <v>45623.654999999999</v>
      </c>
      <c r="W25" s="43"/>
      <c r="X25" s="42">
        <f>V25*(1+X42)</f>
        <v>47904.837749999999</v>
      </c>
      <c r="Y25" s="43"/>
      <c r="Z25" s="42">
        <f>X25*(1+Z42)</f>
        <v>50300.079637499999</v>
      </c>
      <c r="AA25" s="43"/>
      <c r="AB25" s="42">
        <f>Z25*(1+AB42)</f>
        <v>52815.083619375</v>
      </c>
      <c r="AC25" s="43"/>
      <c r="AD25" s="42">
        <f>AB25*(1+AD42)</f>
        <v>55455.837800343754</v>
      </c>
      <c r="AE25" s="4" t="s">
        <v>326</v>
      </c>
    </row>
    <row r="26" spans="2:32" x14ac:dyDescent="0.3">
      <c r="B26" s="51" t="s">
        <v>319</v>
      </c>
      <c r="N26" s="42">
        <f>25000/5</f>
        <v>5000</v>
      </c>
      <c r="O26" s="43"/>
      <c r="P26" s="42">
        <f>25000/5</f>
        <v>5000</v>
      </c>
      <c r="Q26" s="43"/>
      <c r="R26" s="42">
        <f>25000/5</f>
        <v>5000</v>
      </c>
      <c r="S26" s="43"/>
      <c r="T26" s="42">
        <f>25000/5</f>
        <v>5000</v>
      </c>
      <c r="U26" s="43"/>
      <c r="V26" s="42">
        <f>25000/5</f>
        <v>5000</v>
      </c>
      <c r="W26" s="43"/>
      <c r="X26" s="42">
        <f>25000/5</f>
        <v>5000</v>
      </c>
      <c r="Y26" s="43"/>
      <c r="Z26" s="42">
        <f>25000/5</f>
        <v>5000</v>
      </c>
      <c r="AA26" s="43"/>
      <c r="AB26" s="42">
        <f>25000/5</f>
        <v>5000</v>
      </c>
      <c r="AC26" s="43"/>
      <c r="AD26" s="42">
        <f>25000/5</f>
        <v>5000</v>
      </c>
      <c r="AE26" s="4" t="s">
        <v>322</v>
      </c>
    </row>
    <row r="27" spans="2:32" x14ac:dyDescent="0.3">
      <c r="N27" s="63">
        <f>(N22+N25)/N31</f>
        <v>0.11918518787212982</v>
      </c>
      <c r="O27" s="43"/>
      <c r="P27" s="63">
        <f>(P22+P25)/P31</f>
        <v>9.2027459828576672E-2</v>
      </c>
      <c r="Q27" s="43"/>
      <c r="R27" s="63">
        <f>(R22+R25)/R31</f>
        <v>7.6853435403694145E-2</v>
      </c>
      <c r="S27" s="43"/>
      <c r="T27" s="63">
        <f>(T22+T25)/T31</f>
        <v>7.3279883894575126E-2</v>
      </c>
      <c r="U27" s="43"/>
      <c r="V27" s="63">
        <f>(V22+V25)/V31</f>
        <v>6.9115347293573992E-2</v>
      </c>
      <c r="W27" s="43"/>
      <c r="X27" s="63">
        <f>(X22+X25)/X31</f>
        <v>6.5376173111645133E-2</v>
      </c>
      <c r="Y27" s="43"/>
      <c r="Z27" s="63">
        <f>(Z22+Z25)/Z31</f>
        <v>7.118407755016716E-2</v>
      </c>
      <c r="AA27" s="43"/>
      <c r="AB27" s="63">
        <f>(AB22+AB25)/AB31</f>
        <v>7.2204316368407753E-2</v>
      </c>
      <c r="AC27" s="43"/>
      <c r="AD27" s="63">
        <f>(AD22+AD25)/AD31</f>
        <v>7.2956199666413077E-2</v>
      </c>
    </row>
    <row r="28" spans="2:32" x14ac:dyDescent="0.3">
      <c r="B28" s="16" t="s">
        <v>127</v>
      </c>
      <c r="D28" s="4">
        <f>SUM(D14:D18)</f>
        <v>215846</v>
      </c>
      <c r="F28" s="4">
        <f>SUM(F14:F18)</f>
        <v>257800</v>
      </c>
      <c r="H28" s="4">
        <f>SUM(H14:H18)</f>
        <v>281845</v>
      </c>
      <c r="J28" s="4">
        <f>SUM(J14:J18)</f>
        <v>328969</v>
      </c>
      <c r="L28" s="4">
        <f>SUM(L14:L18)</f>
        <v>296278</v>
      </c>
      <c r="N28" s="44">
        <f>SUM(N14,N18)</f>
        <v>392536</v>
      </c>
      <c r="O28" s="44"/>
      <c r="P28" s="44">
        <f>SUM(P14,P18)</f>
        <v>544720</v>
      </c>
      <c r="Q28" s="44"/>
      <c r="R28" s="44">
        <f>SUM(R14,R18)</f>
        <v>689482</v>
      </c>
      <c r="S28" s="44"/>
      <c r="T28" s="44">
        <f>SUM(T14,T18)</f>
        <v>716551.1</v>
      </c>
      <c r="U28" s="44"/>
      <c r="V28" s="44">
        <f>SUM(V14,V18)</f>
        <v>769723.65500000003</v>
      </c>
      <c r="W28" s="44"/>
      <c r="X28" s="44">
        <f>SUM(X14,X18)</f>
        <v>833204.83774999995</v>
      </c>
      <c r="Y28" s="44"/>
      <c r="Z28" s="44">
        <f>SUM(Z14,Z18)</f>
        <v>726840.07963749999</v>
      </c>
      <c r="AA28" s="44"/>
      <c r="AB28" s="44">
        <f>SUM(AB14,AB18)</f>
        <v>723419.08361937501</v>
      </c>
      <c r="AC28" s="44"/>
      <c r="AD28" s="44">
        <f>SUM(AD14,AD18)</f>
        <v>724530.23780034389</v>
      </c>
    </row>
    <row r="29" spans="2:32" x14ac:dyDescent="0.3">
      <c r="B29" s="16" t="s">
        <v>3</v>
      </c>
      <c r="D29" s="4">
        <v>0</v>
      </c>
      <c r="F29" s="4">
        <v>0</v>
      </c>
      <c r="H29" s="4">
        <v>30944</v>
      </c>
      <c r="J29" s="4">
        <v>42968</v>
      </c>
      <c r="L29" s="4">
        <v>49138</v>
      </c>
      <c r="N29" s="41">
        <f>L29*(1+N48)</f>
        <v>81077.7</v>
      </c>
      <c r="O29" s="41"/>
      <c r="P29" s="41">
        <f>N29*(1+P48)</f>
        <v>105401.01</v>
      </c>
      <c r="Q29" s="41"/>
      <c r="R29" s="41">
        <f>P29*(1+R48)</f>
        <v>126481.21199999998</v>
      </c>
      <c r="S29" s="41"/>
      <c r="T29" s="41">
        <f>R29*(1+T48)</f>
        <v>145453.39379999996</v>
      </c>
      <c r="U29" s="41"/>
      <c r="V29" s="41">
        <f>T29*(1+V48)</f>
        <v>159998.73317999998</v>
      </c>
      <c r="W29" s="41"/>
      <c r="X29" s="41">
        <f>V29*(1+X48)</f>
        <v>175998.60649799998</v>
      </c>
      <c r="Y29" s="41"/>
      <c r="Z29" s="41">
        <f>X29*(1+Z48)</f>
        <v>193598.46714779999</v>
      </c>
      <c r="AA29" s="41"/>
      <c r="AB29" s="41">
        <f>Z29*(1+AB48)</f>
        <v>203278.39050519001</v>
      </c>
      <c r="AC29" s="41"/>
      <c r="AD29" s="41">
        <f>AB29*(1+AD48)</f>
        <v>213442.31003044953</v>
      </c>
    </row>
    <row r="30" spans="2:32" x14ac:dyDescent="0.3">
      <c r="B30" s="16" t="s">
        <v>4</v>
      </c>
      <c r="D30" s="4">
        <v>66000</v>
      </c>
      <c r="F30" s="4">
        <v>54800</v>
      </c>
      <c r="H30" s="4">
        <v>91677</v>
      </c>
      <c r="J30" s="4">
        <v>117394</v>
      </c>
      <c r="L30" s="4">
        <v>143366</v>
      </c>
      <c r="N30" s="41">
        <f>L30*(1+N49)</f>
        <v>86019.599999999991</v>
      </c>
      <c r="O30" s="41"/>
      <c r="P30" s="41">
        <f>N30*(1+P49)</f>
        <v>111825.48</v>
      </c>
      <c r="Q30" s="41"/>
      <c r="R30" s="41">
        <f>P30*(1+R49)</f>
        <v>145373.12400000001</v>
      </c>
      <c r="S30" s="41"/>
      <c r="T30" s="41">
        <f>R30*(1+T49)</f>
        <v>174447.7488</v>
      </c>
      <c r="U30" s="41"/>
      <c r="V30" s="41">
        <f>T30*(1+V49)</f>
        <v>200614.91111999998</v>
      </c>
      <c r="W30" s="41"/>
      <c r="X30" s="41">
        <f>V30*(1+X49)</f>
        <v>220676.40223199999</v>
      </c>
      <c r="Y30" s="41"/>
      <c r="Z30" s="41">
        <f>X30*(1+Z49)</f>
        <v>242744.04245520002</v>
      </c>
      <c r="AA30" s="41"/>
      <c r="AB30" s="41">
        <f>Z30*(1+AB49)</f>
        <v>254881.24457796002</v>
      </c>
      <c r="AC30" s="41"/>
      <c r="AD30" s="41">
        <f>AB30*(1+AD49)</f>
        <v>267625.30680685805</v>
      </c>
      <c r="AE30" s="4" t="s">
        <v>323</v>
      </c>
    </row>
    <row r="31" spans="2:32" s="6" customFormat="1" x14ac:dyDescent="0.3">
      <c r="B31" s="15" t="s">
        <v>5</v>
      </c>
      <c r="D31" s="6">
        <f>SUM(D28:D30)</f>
        <v>281846</v>
      </c>
      <c r="F31" s="6">
        <f>SUM(F28:F30)</f>
        <v>312600</v>
      </c>
      <c r="H31" s="6">
        <f>SUM(H28:H30)</f>
        <v>404466</v>
      </c>
      <c r="J31" s="6">
        <f>SUM(J28:J30)</f>
        <v>489331</v>
      </c>
      <c r="L31" s="6">
        <f>SUM(L28:L30)</f>
        <v>488782</v>
      </c>
      <c r="N31" s="45">
        <f>SUM(N28:N30)</f>
        <v>559633.30000000005</v>
      </c>
      <c r="O31" s="45"/>
      <c r="P31" s="45">
        <f>SUM(P28:P30)</f>
        <v>761946.49</v>
      </c>
      <c r="Q31" s="45"/>
      <c r="R31" s="45">
        <f>SUM(R28:R30)</f>
        <v>961336.33599999989</v>
      </c>
      <c r="S31" s="45"/>
      <c r="T31" s="45">
        <f>SUM(T28:T30)</f>
        <v>1036452.2426</v>
      </c>
      <c r="U31" s="45"/>
      <c r="V31" s="45">
        <f>SUM(V28:V30)</f>
        <v>1130337.2993000001</v>
      </c>
      <c r="W31" s="45"/>
      <c r="X31" s="45">
        <f>SUM(X28:X30)</f>
        <v>1229879.8464799998</v>
      </c>
      <c r="Y31" s="45"/>
      <c r="Z31" s="45">
        <f>SUM(Z28:Z30)</f>
        <v>1163182.5892405</v>
      </c>
      <c r="AA31" s="45"/>
      <c r="AB31" s="45">
        <f>SUM(AB28:AB30)</f>
        <v>1181578.7187025251</v>
      </c>
      <c r="AC31" s="45"/>
      <c r="AD31" s="45">
        <f>SUM(AD28:AD30)</f>
        <v>1205597.8546376515</v>
      </c>
    </row>
    <row r="32" spans="2:32" x14ac:dyDescent="0.3">
      <c r="D32" s="63">
        <f>D29/D31</f>
        <v>0</v>
      </c>
      <c r="F32" s="63">
        <f>F29/F31</f>
        <v>0</v>
      </c>
      <c r="H32" s="63">
        <f>H29/H31</f>
        <v>7.6505812602295373E-2</v>
      </c>
      <c r="J32" s="63">
        <f>J29/J31</f>
        <v>8.7809683016199666E-2</v>
      </c>
      <c r="L32" s="63">
        <f>L29/L31</f>
        <v>0.10053152530166823</v>
      </c>
      <c r="N32" s="63">
        <f>N29/N31</f>
        <v>0.14487647536342099</v>
      </c>
      <c r="O32" s="46"/>
      <c r="P32" s="63">
        <f>P29/P31</f>
        <v>0.13833124948183698</v>
      </c>
      <c r="Q32" s="46"/>
      <c r="R32" s="63">
        <f>R29/R31</f>
        <v>0.13156811748765523</v>
      </c>
      <c r="S32" s="46"/>
      <c r="T32" s="63">
        <f>T29/T31</f>
        <v>0.14033776745479537</v>
      </c>
      <c r="U32" s="46"/>
      <c r="V32" s="63">
        <f>V29/V31</f>
        <v>0.1415495474484339</v>
      </c>
      <c r="W32" s="46"/>
      <c r="X32" s="63">
        <f>X29/X31</f>
        <v>0.14310227702463782</v>
      </c>
      <c r="Y32" s="46"/>
      <c r="Z32" s="63">
        <f>Z29/Z31</f>
        <v>0.16643858749141879</v>
      </c>
      <c r="AA32" s="46"/>
      <c r="AB32" s="63">
        <f>AB29/AB31</f>
        <v>0.17203965109358701</v>
      </c>
      <c r="AC32" s="46"/>
      <c r="AD32" s="46"/>
    </row>
    <row r="33" spans="2:31" s="6" customFormat="1" x14ac:dyDescent="0.3">
      <c r="B33" s="15" t="s">
        <v>188</v>
      </c>
      <c r="O33" s="40"/>
      <c r="P33" s="47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</row>
    <row r="34" spans="2:31" x14ac:dyDescent="0.3">
      <c r="B34" s="16" t="s">
        <v>126</v>
      </c>
      <c r="F34" s="18">
        <f>F14/D14-1</f>
        <v>0.13376683697166736</v>
      </c>
      <c r="H34" s="18">
        <f>H14/F14-1</f>
        <v>7.3945104465382716E-3</v>
      </c>
      <c r="J34" s="18">
        <f>J14/H14-1</f>
        <v>0.19526239808055967</v>
      </c>
      <c r="L34" s="18">
        <f>L14/J14-1</f>
        <v>-0.19355881342265435</v>
      </c>
      <c r="N34" s="48">
        <v>0.2</v>
      </c>
      <c r="O34" s="48"/>
      <c r="P34" s="48">
        <v>0.1</v>
      </c>
      <c r="Q34" s="48"/>
      <c r="R34" s="48">
        <v>0.1</v>
      </c>
      <c r="S34" s="48"/>
      <c r="T34" s="48">
        <v>0.1</v>
      </c>
      <c r="U34" s="48"/>
      <c r="V34" s="48">
        <v>-0.5</v>
      </c>
      <c r="W34" s="48"/>
      <c r="X34" s="48">
        <v>-0.5</v>
      </c>
      <c r="Y34" s="48"/>
      <c r="Z34" s="48">
        <v>-1</v>
      </c>
      <c r="AA34" s="48"/>
      <c r="AB34" s="48">
        <v>0</v>
      </c>
      <c r="AC34" s="48"/>
      <c r="AD34" s="48">
        <v>0</v>
      </c>
    </row>
    <row r="35" spans="2:31" x14ac:dyDescent="0.3">
      <c r="B35" s="16" t="s">
        <v>54</v>
      </c>
      <c r="F35" s="18">
        <f>F18/D18-1</f>
        <v>24.091575091575091</v>
      </c>
      <c r="H35" s="18">
        <f>H18/F18-1</f>
        <v>1.6233576642335765</v>
      </c>
      <c r="J35" s="18">
        <f>J18/H18-1</f>
        <v>-2.4819143016137968E-2</v>
      </c>
      <c r="L35" s="18">
        <f>L18/J18-1</f>
        <v>0.69048162519972611</v>
      </c>
      <c r="N35" s="48">
        <v>0</v>
      </c>
      <c r="O35" s="48"/>
      <c r="P35" s="48">
        <v>0</v>
      </c>
      <c r="Q35" s="48"/>
      <c r="R35" s="48">
        <v>0</v>
      </c>
      <c r="S35" s="48"/>
      <c r="T35" s="48">
        <v>0</v>
      </c>
      <c r="U35" s="48"/>
      <c r="V35" s="48">
        <v>0</v>
      </c>
      <c r="W35" s="48"/>
      <c r="X35" s="48">
        <v>0</v>
      </c>
      <c r="Y35" s="48"/>
      <c r="Z35" s="48">
        <v>0</v>
      </c>
      <c r="AA35" s="48"/>
      <c r="AB35" s="48">
        <v>0</v>
      </c>
      <c r="AC35" s="48"/>
      <c r="AD35" s="48">
        <v>0</v>
      </c>
    </row>
    <row r="36" spans="2:31" x14ac:dyDescent="0.3">
      <c r="B36" s="51" t="s">
        <v>132</v>
      </c>
      <c r="F36" s="18"/>
      <c r="H36" s="18"/>
      <c r="J36" s="18"/>
      <c r="L36" s="18"/>
      <c r="N36" s="48"/>
      <c r="O36" s="48"/>
      <c r="P36" s="48"/>
      <c r="Q36" s="48"/>
      <c r="R36" s="48"/>
      <c r="S36" s="48"/>
      <c r="T36" s="48">
        <v>0</v>
      </c>
      <c r="U36" s="48"/>
      <c r="V36" s="48">
        <v>0.2</v>
      </c>
      <c r="W36" s="48"/>
      <c r="X36" s="48">
        <v>0.2</v>
      </c>
      <c r="Y36" s="48"/>
      <c r="Z36" s="48">
        <v>0.2</v>
      </c>
      <c r="AA36" s="48"/>
      <c r="AB36" s="48">
        <v>0.1</v>
      </c>
      <c r="AC36" s="48"/>
      <c r="AD36" s="48">
        <v>0.1</v>
      </c>
    </row>
    <row r="37" spans="2:31" x14ac:dyDescent="0.3">
      <c r="B37" s="51" t="s">
        <v>316</v>
      </c>
      <c r="F37" s="18"/>
      <c r="H37" s="18"/>
      <c r="J37" s="18"/>
      <c r="L37" s="1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</row>
    <row r="38" spans="2:31" x14ac:dyDescent="0.3">
      <c r="B38" s="51" t="s">
        <v>134</v>
      </c>
      <c r="F38" s="18"/>
      <c r="H38" s="18"/>
      <c r="J38" s="18"/>
      <c r="L38" s="1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</row>
    <row r="39" spans="2:31" x14ac:dyDescent="0.3">
      <c r="B39" s="51" t="s">
        <v>317</v>
      </c>
      <c r="F39" s="18"/>
      <c r="H39" s="18"/>
      <c r="J39" s="18"/>
      <c r="L39" s="1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</row>
    <row r="40" spans="2:31" x14ac:dyDescent="0.3">
      <c r="B40" s="51" t="s">
        <v>135</v>
      </c>
      <c r="F40" s="18"/>
      <c r="H40" s="18"/>
      <c r="J40" s="18"/>
      <c r="L40" s="1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</row>
    <row r="41" spans="2:31" x14ac:dyDescent="0.3">
      <c r="B41" s="51" t="s">
        <v>138</v>
      </c>
      <c r="F41" s="18"/>
      <c r="H41" s="18"/>
      <c r="J41" s="18"/>
      <c r="L41" s="1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</row>
    <row r="42" spans="2:31" x14ac:dyDescent="0.3">
      <c r="B42" s="51" t="s">
        <v>318</v>
      </c>
      <c r="F42" s="18"/>
      <c r="H42" s="18"/>
      <c r="J42" s="18"/>
      <c r="L42" s="18"/>
      <c r="N42" s="48"/>
      <c r="O42" s="48"/>
      <c r="P42" s="48">
        <v>0.1</v>
      </c>
      <c r="Q42" s="48"/>
      <c r="R42" s="48">
        <v>0.1</v>
      </c>
      <c r="S42" s="48"/>
      <c r="T42" s="48">
        <v>0.05</v>
      </c>
      <c r="U42" s="48"/>
      <c r="V42" s="48">
        <v>0.05</v>
      </c>
      <c r="W42" s="48"/>
      <c r="X42" s="48">
        <v>0.05</v>
      </c>
      <c r="Y42" s="48"/>
      <c r="Z42" s="48">
        <v>0.05</v>
      </c>
      <c r="AA42" s="48"/>
      <c r="AB42" s="48">
        <v>0.05</v>
      </c>
      <c r="AC42" s="48"/>
      <c r="AD42" s="48">
        <v>0.05</v>
      </c>
    </row>
    <row r="43" spans="2:31" x14ac:dyDescent="0.3">
      <c r="B43" s="51" t="s">
        <v>319</v>
      </c>
      <c r="F43" s="18"/>
      <c r="H43" s="18"/>
      <c r="J43" s="18"/>
      <c r="L43" s="1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</row>
    <row r="44" spans="2:31" x14ac:dyDescent="0.3">
      <c r="F44" s="18"/>
      <c r="H44" s="18"/>
      <c r="J44" s="18"/>
      <c r="L44" s="1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</row>
    <row r="45" spans="2:31" x14ac:dyDescent="0.3">
      <c r="F45" s="18"/>
      <c r="H45" s="18"/>
      <c r="J45" s="18"/>
      <c r="L45" s="1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</row>
    <row r="46" spans="2:31" x14ac:dyDescent="0.3">
      <c r="F46" s="18"/>
      <c r="H46" s="18"/>
      <c r="J46" s="18"/>
      <c r="L46" s="1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</row>
    <row r="47" spans="2:31" x14ac:dyDescent="0.3">
      <c r="B47" s="16" t="s">
        <v>127</v>
      </c>
      <c r="F47" s="18">
        <f>F28/D28-1</f>
        <v>0.19437006013546698</v>
      </c>
      <c r="H47" s="18">
        <f>H28/F28-1</f>
        <v>9.3269976726144233E-2</v>
      </c>
      <c r="J47" s="18">
        <f>J28/H28-1</f>
        <v>0.16719828274406145</v>
      </c>
      <c r="L47" s="18">
        <f>L28/J28-1</f>
        <v>-9.9374105158844706E-2</v>
      </c>
      <c r="N47" s="48">
        <f>N28/L28-1</f>
        <v>0.32489081200764147</v>
      </c>
      <c r="O47" s="48"/>
      <c r="P47" s="48">
        <f>P28/N28-1</f>
        <v>0.38769437707624266</v>
      </c>
      <c r="Q47" s="48"/>
      <c r="R47" s="48">
        <f>R28/P28-1</f>
        <v>0.26575488324276697</v>
      </c>
      <c r="S47" s="48"/>
      <c r="T47" s="48">
        <f>T28/R28-1</f>
        <v>3.9260053199358325E-2</v>
      </c>
      <c r="U47" s="48"/>
      <c r="V47" s="48">
        <f>V28/T28-1</f>
        <v>7.4206228976551714E-2</v>
      </c>
      <c r="W47" s="48"/>
      <c r="X47" s="48">
        <f>X28/V28-1</f>
        <v>8.2472693073204262E-2</v>
      </c>
      <c r="Y47" s="48"/>
      <c r="Z47" s="48">
        <f>Z28/X28-1</f>
        <v>-0.12765739382854413</v>
      </c>
      <c r="AA47" s="48"/>
      <c r="AB47" s="48">
        <f>AB28/Z28-1</f>
        <v>-4.7066694778735707E-3</v>
      </c>
      <c r="AC47" s="48"/>
      <c r="AD47" s="48">
        <f>AD28/AB28-1</f>
        <v>1.5359757658168771E-3</v>
      </c>
    </row>
    <row r="48" spans="2:31" x14ac:dyDescent="0.3">
      <c r="B48" s="16" t="s">
        <v>3</v>
      </c>
      <c r="F48" s="18" t="e">
        <f>F29/D29-1</f>
        <v>#DIV/0!</v>
      </c>
      <c r="H48" s="18" t="e">
        <f>H29/F29-1</f>
        <v>#DIV/0!</v>
      </c>
      <c r="J48" s="18">
        <f>J29/H29-1</f>
        <v>0.38857290589451909</v>
      </c>
      <c r="L48" s="18">
        <f>L29/J29-1</f>
        <v>0.14359523366226035</v>
      </c>
      <c r="N48" s="48">
        <v>0.65</v>
      </c>
      <c r="O48" s="48"/>
      <c r="P48" s="48">
        <v>0.3</v>
      </c>
      <c r="Q48" s="48"/>
      <c r="R48" s="48">
        <v>0.2</v>
      </c>
      <c r="S48" s="48"/>
      <c r="T48" s="48">
        <v>0.15</v>
      </c>
      <c r="U48" s="48"/>
      <c r="V48" s="48">
        <v>0.1</v>
      </c>
      <c r="W48" s="48"/>
      <c r="X48" s="48">
        <v>0.1</v>
      </c>
      <c r="Y48" s="48"/>
      <c r="Z48" s="48">
        <v>0.1</v>
      </c>
      <c r="AA48" s="48"/>
      <c r="AB48" s="48">
        <v>0.05</v>
      </c>
      <c r="AC48" s="48"/>
      <c r="AD48" s="48">
        <v>0.05</v>
      </c>
      <c r="AE48" s="4" t="s">
        <v>324</v>
      </c>
    </row>
    <row r="49" spans="1:31" x14ac:dyDescent="0.3">
      <c r="B49" s="16" t="s">
        <v>4</v>
      </c>
      <c r="F49" s="18">
        <f>F30/D30-1</f>
        <v>-0.16969696969696968</v>
      </c>
      <c r="H49" s="18">
        <f>H30/F30-1</f>
        <v>0.67293795620437957</v>
      </c>
      <c r="J49" s="18">
        <f>J30/H30-1</f>
        <v>0.28051746893986507</v>
      </c>
      <c r="L49" s="18">
        <f>L30/J30-1</f>
        <v>0.22123788268565692</v>
      </c>
      <c r="N49" s="48">
        <v>-0.4</v>
      </c>
      <c r="O49" s="48"/>
      <c r="P49" s="48">
        <v>0.3</v>
      </c>
      <c r="Q49" s="48"/>
      <c r="R49" s="48">
        <v>0.3</v>
      </c>
      <c r="S49" s="48"/>
      <c r="T49" s="48">
        <v>0.2</v>
      </c>
      <c r="U49" s="48"/>
      <c r="V49" s="48">
        <v>0.15</v>
      </c>
      <c r="W49" s="48"/>
      <c r="X49" s="48">
        <v>0.1</v>
      </c>
      <c r="Y49" s="48"/>
      <c r="Z49" s="48">
        <v>0.1</v>
      </c>
      <c r="AA49" s="48"/>
      <c r="AB49" s="48">
        <v>0.05</v>
      </c>
      <c r="AC49" s="48"/>
      <c r="AD49" s="48">
        <v>0.05</v>
      </c>
      <c r="AE49" s="4" t="s">
        <v>336</v>
      </c>
    </row>
    <row r="50" spans="1:31" s="6" customFormat="1" x14ac:dyDescent="0.3">
      <c r="B50" s="15" t="s">
        <v>5</v>
      </c>
      <c r="F50" s="27">
        <f>F31/D31-1</f>
        <v>0.10911632593685905</v>
      </c>
      <c r="H50" s="27">
        <f>H31/F31-1</f>
        <v>0.29387715930902103</v>
      </c>
      <c r="J50" s="27">
        <f>J31/H31-1</f>
        <v>0.20981986124915331</v>
      </c>
      <c r="L50" s="27">
        <f>L31/J31-1</f>
        <v>-1.1219399547545139E-3</v>
      </c>
      <c r="N50" s="49">
        <f>N31/L31-1</f>
        <v>0.14495480602804522</v>
      </c>
      <c r="O50" s="50"/>
      <c r="P50" s="50">
        <f>P31/N31-1</f>
        <v>0.3615102782482742</v>
      </c>
      <c r="Q50" s="50"/>
      <c r="R50" s="50">
        <f>R31/P31-1</f>
        <v>0.26168484088692368</v>
      </c>
      <c r="S50" s="50"/>
      <c r="T50" s="50">
        <f>T31/R31-1</f>
        <v>7.813696807981696E-2</v>
      </c>
      <c r="U50" s="50"/>
      <c r="V50" s="50">
        <f>V31/T31-1</f>
        <v>9.0583099578697368E-2</v>
      </c>
      <c r="W50" s="50"/>
      <c r="X50" s="50">
        <f>X31/V31-1</f>
        <v>8.8064462918851616E-2</v>
      </c>
      <c r="Y50" s="50"/>
      <c r="Z50" s="50">
        <f>Z31/X31-1</f>
        <v>-5.4230709959506962E-2</v>
      </c>
      <c r="AA50" s="50"/>
      <c r="AB50" s="50">
        <f>AB31/Z31-1</f>
        <v>1.581534114436578E-2</v>
      </c>
      <c r="AC50" s="50"/>
      <c r="AD50" s="50">
        <f>AD31/AB31-1</f>
        <v>2.0328003166391939E-2</v>
      </c>
    </row>
    <row r="51" spans="1:31" ht="15" thickBot="1" x14ac:dyDescent="0.35">
      <c r="B51" s="19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3" spans="1:31" s="6" customFormat="1" ht="28.8" x14ac:dyDescent="0.3">
      <c r="A53" s="6">
        <v>2</v>
      </c>
      <c r="B53" s="15" t="s">
        <v>128</v>
      </c>
    </row>
    <row r="54" spans="1:31" ht="28.8" x14ac:dyDescent="0.3">
      <c r="B54" s="16" t="s">
        <v>129</v>
      </c>
      <c r="D54" s="4">
        <v>18908</v>
      </c>
      <c r="F54" s="4">
        <v>17876</v>
      </c>
      <c r="H54" s="4">
        <v>13625</v>
      </c>
      <c r="J54" s="4">
        <v>9911</v>
      </c>
      <c r="L54" s="4">
        <v>6104</v>
      </c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</row>
    <row r="55" spans="1:31" x14ac:dyDescent="0.3">
      <c r="B55" s="16" t="s">
        <v>130</v>
      </c>
      <c r="D55" s="4">
        <v>10934</v>
      </c>
      <c r="F55" s="4">
        <v>10613</v>
      </c>
      <c r="H55" s="4">
        <v>7157</v>
      </c>
      <c r="J55" s="4">
        <v>3511</v>
      </c>
      <c r="L55" s="4">
        <v>3069</v>
      </c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</row>
    <row r="56" spans="1:31" x14ac:dyDescent="0.3">
      <c r="B56" s="16" t="s">
        <v>131</v>
      </c>
      <c r="D56" s="4">
        <v>19805</v>
      </c>
      <c r="F56" s="4">
        <v>14953</v>
      </c>
      <c r="H56" s="4">
        <v>10737</v>
      </c>
      <c r="J56" s="4">
        <v>7152</v>
      </c>
      <c r="L56" s="4">
        <v>1324</v>
      </c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</row>
    <row r="57" spans="1:31" x14ac:dyDescent="0.3">
      <c r="B57" s="16" t="s">
        <v>132</v>
      </c>
      <c r="D57" s="4">
        <v>8591</v>
      </c>
      <c r="F57" s="4">
        <v>9236</v>
      </c>
      <c r="H57" s="4">
        <v>9428</v>
      </c>
      <c r="J57" s="4">
        <v>12560</v>
      </c>
      <c r="L57" s="4">
        <v>22478</v>
      </c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</row>
    <row r="58" spans="1:31" x14ac:dyDescent="0.3">
      <c r="B58" s="16" t="s">
        <v>133</v>
      </c>
      <c r="D58" s="4">
        <v>2500</v>
      </c>
      <c r="F58" s="4">
        <v>2545</v>
      </c>
      <c r="H58" s="4">
        <v>469</v>
      </c>
      <c r="J58" s="4">
        <v>6583</v>
      </c>
      <c r="L58" s="4">
        <v>1710</v>
      </c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</row>
    <row r="59" spans="1:31" x14ac:dyDescent="0.3">
      <c r="B59" s="16" t="s">
        <v>141</v>
      </c>
      <c r="D59" s="4">
        <v>1362</v>
      </c>
      <c r="F59" s="4">
        <v>0</v>
      </c>
      <c r="H59" s="4">
        <v>0</v>
      </c>
      <c r="J59" s="4">
        <v>0</v>
      </c>
      <c r="L59" s="4">
        <v>0</v>
      </c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</row>
    <row r="60" spans="1:31" x14ac:dyDescent="0.3">
      <c r="B60" s="16" t="s">
        <v>142</v>
      </c>
      <c r="D60" s="4">
        <v>6479</v>
      </c>
      <c r="F60" s="4">
        <v>7440</v>
      </c>
      <c r="H60" s="4">
        <v>0</v>
      </c>
      <c r="J60" s="4">
        <v>0</v>
      </c>
      <c r="L60" s="4">
        <v>0</v>
      </c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</row>
    <row r="61" spans="1:31" x14ac:dyDescent="0.3">
      <c r="B61" s="16" t="s">
        <v>134</v>
      </c>
      <c r="D61" s="4">
        <v>0</v>
      </c>
      <c r="F61" s="4">
        <v>0</v>
      </c>
      <c r="H61" s="4">
        <v>19513</v>
      </c>
      <c r="J61" s="4">
        <v>25986</v>
      </c>
      <c r="L61" s="4">
        <v>1279</v>
      </c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</row>
    <row r="62" spans="1:31" x14ac:dyDescent="0.3">
      <c r="B62" s="16" t="s">
        <v>135</v>
      </c>
      <c r="D62" s="4">
        <v>0</v>
      </c>
      <c r="F62" s="4">
        <v>0</v>
      </c>
      <c r="H62" s="4">
        <v>7351</v>
      </c>
      <c r="J62" s="4">
        <v>4867</v>
      </c>
      <c r="L62" s="4">
        <v>3904</v>
      </c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</row>
    <row r="63" spans="1:31" x14ac:dyDescent="0.3">
      <c r="B63" s="16" t="s">
        <v>136</v>
      </c>
      <c r="D63" s="4">
        <v>0</v>
      </c>
      <c r="F63" s="4">
        <v>0</v>
      </c>
      <c r="H63" s="4">
        <v>0</v>
      </c>
      <c r="J63" s="4">
        <v>6801</v>
      </c>
      <c r="L63" s="4">
        <v>326</v>
      </c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</row>
    <row r="64" spans="1:31" x14ac:dyDescent="0.3">
      <c r="B64" s="16" t="s">
        <v>137</v>
      </c>
      <c r="D64" s="4">
        <v>0</v>
      </c>
      <c r="F64" s="4">
        <v>0</v>
      </c>
      <c r="H64" s="4">
        <v>0</v>
      </c>
      <c r="J64" s="4">
        <v>2957</v>
      </c>
      <c r="L64" s="4">
        <v>13955</v>
      </c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</row>
    <row r="65" spans="2:30" x14ac:dyDescent="0.3">
      <c r="B65" s="16" t="s">
        <v>138</v>
      </c>
      <c r="D65" s="4">
        <v>0</v>
      </c>
      <c r="F65" s="4">
        <v>0</v>
      </c>
      <c r="H65" s="4">
        <v>737</v>
      </c>
      <c r="J65" s="4">
        <v>3060</v>
      </c>
      <c r="L65" s="4">
        <v>12019</v>
      </c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</row>
    <row r="66" spans="2:30" x14ac:dyDescent="0.3">
      <c r="B66" s="16" t="s">
        <v>139</v>
      </c>
      <c r="D66" s="4">
        <v>0</v>
      </c>
      <c r="F66" s="4">
        <v>0</v>
      </c>
      <c r="H66" s="4">
        <v>0</v>
      </c>
      <c r="J66" s="4">
        <v>4643</v>
      </c>
      <c r="L66" s="4">
        <v>9000</v>
      </c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</row>
    <row r="67" spans="2:30" x14ac:dyDescent="0.3">
      <c r="B67" s="16" t="s">
        <v>54</v>
      </c>
      <c r="D67" s="4">
        <v>7059</v>
      </c>
      <c r="F67" s="4">
        <v>6618</v>
      </c>
      <c r="H67" s="4">
        <v>35704</v>
      </c>
      <c r="J67" s="4">
        <v>31155</v>
      </c>
      <c r="L67" s="4">
        <v>33122</v>
      </c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</row>
    <row r="68" spans="2:30" x14ac:dyDescent="0.3">
      <c r="B68" s="51" t="s">
        <v>143</v>
      </c>
      <c r="D68" s="4">
        <v>15736</v>
      </c>
      <c r="F68" s="4">
        <v>4882</v>
      </c>
      <c r="H68" s="4">
        <v>0</v>
      </c>
      <c r="J68" s="4">
        <v>0</v>
      </c>
      <c r="L68" s="4">
        <v>0</v>
      </c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</row>
    <row r="69" spans="2:30" x14ac:dyDescent="0.3">
      <c r="B69" s="51" t="s">
        <v>144</v>
      </c>
      <c r="D69" s="4">
        <v>13585</v>
      </c>
      <c r="F69" s="4">
        <v>27035</v>
      </c>
      <c r="H69" s="4">
        <v>0</v>
      </c>
      <c r="J69" s="4">
        <v>0</v>
      </c>
      <c r="L69" s="4">
        <v>0</v>
      </c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2:30" x14ac:dyDescent="0.3">
      <c r="B70" s="51" t="s">
        <v>145</v>
      </c>
      <c r="D70" s="4">
        <v>4673</v>
      </c>
      <c r="F70" s="4">
        <v>7719</v>
      </c>
      <c r="H70" s="4">
        <v>0</v>
      </c>
      <c r="J70" s="4">
        <v>0</v>
      </c>
      <c r="L70" s="4">
        <v>0</v>
      </c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2:30" x14ac:dyDescent="0.3">
      <c r="B71" s="51" t="s">
        <v>146</v>
      </c>
      <c r="D71" s="4">
        <v>2047</v>
      </c>
      <c r="F71" s="4">
        <v>0</v>
      </c>
      <c r="H71" s="4">
        <v>0</v>
      </c>
      <c r="J71" s="4">
        <v>0</v>
      </c>
      <c r="L71" s="4">
        <v>0</v>
      </c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2:30" x14ac:dyDescent="0.3">
      <c r="B72" s="51" t="s">
        <v>147</v>
      </c>
      <c r="D72" s="4">
        <v>8547</v>
      </c>
      <c r="F72" s="4">
        <v>11016</v>
      </c>
      <c r="H72" s="4">
        <v>0</v>
      </c>
      <c r="J72" s="4">
        <v>0</v>
      </c>
      <c r="L72" s="4">
        <v>0</v>
      </c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2:30" s="6" customFormat="1" x14ac:dyDescent="0.3">
      <c r="B73" s="15" t="s">
        <v>140</v>
      </c>
      <c r="D73" s="6">
        <f>SUM(D54:D72)</f>
        <v>120226</v>
      </c>
      <c r="F73" s="6">
        <f>SUM(F54:F72)</f>
        <v>119933</v>
      </c>
      <c r="H73" s="6">
        <f>SUM(H54:H72)</f>
        <v>104721</v>
      </c>
      <c r="J73" s="6">
        <f>SUM(J54:J67)</f>
        <v>119186</v>
      </c>
      <c r="L73" s="6">
        <f>SUM(L54:L72)</f>
        <v>108290</v>
      </c>
      <c r="N73" s="21">
        <f>SUM(N77:N78)</f>
        <v>102808.59899999999</v>
      </c>
      <c r="O73" s="21"/>
      <c r="P73" s="21">
        <f>SUM(P77:P78)</f>
        <v>134683.87469999999</v>
      </c>
      <c r="Q73" s="21"/>
      <c r="R73" s="21">
        <f>SUM(R77:R78)</f>
        <v>174213.21408000001</v>
      </c>
      <c r="S73" s="21"/>
      <c r="T73" s="21">
        <f>SUM(T77:T78)</f>
        <v>205541.316078</v>
      </c>
      <c r="U73" s="21"/>
      <c r="V73" s="21">
        <f>SUM(V77:V78)</f>
        <v>234525.03009899997</v>
      </c>
      <c r="W73" s="21"/>
      <c r="X73" s="21">
        <f>SUM(X77:X78)</f>
        <v>257572.79762639999</v>
      </c>
      <c r="Y73" s="21"/>
      <c r="Z73" s="21">
        <f>SUM(Z77:Z78)</f>
        <v>277639.520132415</v>
      </c>
      <c r="AA73" s="21"/>
      <c r="AB73" s="21">
        <f>SUM(AB77:AB78)</f>
        <v>290328.60613903578</v>
      </c>
      <c r="AC73" s="21"/>
      <c r="AD73" s="21">
        <f>SUM(AD77:AD78)</f>
        <v>303793.24244598759</v>
      </c>
    </row>
    <row r="74" spans="2:30" s="6" customFormat="1" x14ac:dyDescent="0.3">
      <c r="B74" s="15"/>
    </row>
    <row r="75" spans="2:30" x14ac:dyDescent="0.3">
      <c r="B75" s="15"/>
      <c r="D75" s="18"/>
      <c r="F75" s="18"/>
      <c r="H75" s="18"/>
      <c r="J75" s="18"/>
      <c r="L75" s="18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</row>
    <row r="76" spans="2:30" x14ac:dyDescent="0.3">
      <c r="B76" s="15" t="s">
        <v>313</v>
      </c>
      <c r="C76" s="89"/>
      <c r="D76" s="89"/>
      <c r="E76" s="89"/>
      <c r="F76" s="89"/>
      <c r="G76" s="89"/>
      <c r="H76" s="89">
        <v>104.7</v>
      </c>
      <c r="I76" s="89"/>
      <c r="J76" s="89">
        <v>119.2</v>
      </c>
      <c r="K76" s="89"/>
      <c r="L76" s="89">
        <v>108.3</v>
      </c>
      <c r="N76" s="94">
        <f>SUM(N77:N78)</f>
        <v>102808.59899999999</v>
      </c>
      <c r="O76" s="53"/>
      <c r="P76" s="94">
        <f>SUM(P77:P78)</f>
        <v>134683.87469999999</v>
      </c>
      <c r="Q76" s="53"/>
      <c r="R76" s="94">
        <f>SUM(R77:R78)</f>
        <v>174213.21408000001</v>
      </c>
      <c r="S76" s="53"/>
      <c r="T76" s="94">
        <f>SUM(T77:T78)</f>
        <v>205541.316078</v>
      </c>
      <c r="U76" s="53"/>
      <c r="V76" s="94">
        <f>SUM(V77:V78)</f>
        <v>234525.03009899997</v>
      </c>
      <c r="W76" s="53"/>
      <c r="X76" s="94">
        <f>SUM(X77:X78)</f>
        <v>257572.79762639999</v>
      </c>
      <c r="Y76" s="53"/>
      <c r="Z76" s="94">
        <f>SUM(Z77:Z78)</f>
        <v>277639.520132415</v>
      </c>
      <c r="AA76" s="53"/>
      <c r="AB76" s="94">
        <f>SUM(AB77:AB78)</f>
        <v>290328.60613903578</v>
      </c>
      <c r="AC76" s="53"/>
      <c r="AD76" s="94">
        <f>SUM(AD77:AD78)</f>
        <v>303793.24244598759</v>
      </c>
    </row>
    <row r="77" spans="2:30" x14ac:dyDescent="0.3">
      <c r="B77" s="15" t="s">
        <v>314</v>
      </c>
      <c r="C77" s="89"/>
      <c r="D77" s="89"/>
      <c r="E77" s="89"/>
      <c r="F77" s="89"/>
      <c r="G77" s="89"/>
      <c r="H77" s="89">
        <v>-91.7</v>
      </c>
      <c r="I77" s="89"/>
      <c r="J77" s="89">
        <v>-117.4</v>
      </c>
      <c r="K77" s="89"/>
      <c r="L77" s="89">
        <v>-143.4</v>
      </c>
      <c r="N77" s="93">
        <f>N79*N30</f>
        <v>86019.599999999991</v>
      </c>
      <c r="O77" s="53"/>
      <c r="P77" s="93">
        <f>P79*P30</f>
        <v>111825.48</v>
      </c>
      <c r="Q77" s="53"/>
      <c r="R77" s="93">
        <f>R79*R30</f>
        <v>145373.12400000001</v>
      </c>
      <c r="S77" s="53"/>
      <c r="T77" s="93">
        <f>T79*T30</f>
        <v>174447.7488</v>
      </c>
      <c r="U77" s="53"/>
      <c r="V77" s="93">
        <f>V79*V30</f>
        <v>200614.91111999998</v>
      </c>
      <c r="W77" s="53"/>
      <c r="X77" s="93">
        <f>X79*X30</f>
        <v>220676.40223199999</v>
      </c>
      <c r="Y77" s="53"/>
      <c r="Z77" s="93">
        <f>Z79*Z30</f>
        <v>242744.04245520002</v>
      </c>
      <c r="AA77" s="53"/>
      <c r="AB77" s="93">
        <f>AB79*AB30</f>
        <v>254881.24457796002</v>
      </c>
      <c r="AC77" s="53"/>
      <c r="AD77" s="93">
        <f>AD79*AD30</f>
        <v>267625.30680685805</v>
      </c>
    </row>
    <row r="78" spans="2:30" x14ac:dyDescent="0.3">
      <c r="B78" s="15" t="s">
        <v>315</v>
      </c>
      <c r="C78" s="89"/>
      <c r="D78" s="89"/>
      <c r="E78" s="89"/>
      <c r="F78" s="89"/>
      <c r="G78" s="89"/>
      <c r="H78" s="89">
        <f>SUM(H76:H77)</f>
        <v>13</v>
      </c>
      <c r="I78" s="89"/>
      <c r="J78" s="89">
        <f>SUM(J76:J77)</f>
        <v>1.7999999999999972</v>
      </c>
      <c r="K78" s="89"/>
      <c r="L78" s="89">
        <f>SUM(L76:L77)</f>
        <v>-35.100000000000009</v>
      </c>
      <c r="N78" s="93">
        <f>N80*'IS Modelling'!N31</f>
        <v>16788.999</v>
      </c>
      <c r="O78" s="53"/>
      <c r="P78" s="93">
        <f>P80*'IS Modelling'!P31</f>
        <v>22858.394699999997</v>
      </c>
      <c r="Q78" s="53"/>
      <c r="R78" s="93">
        <f>R80*'IS Modelling'!R31</f>
        <v>28840.090079999994</v>
      </c>
      <c r="S78" s="53"/>
      <c r="T78" s="93">
        <f>T80*'IS Modelling'!T31</f>
        <v>31093.567277999999</v>
      </c>
      <c r="U78" s="53"/>
      <c r="V78" s="93">
        <f>V80*'IS Modelling'!V31</f>
        <v>33910.118978999999</v>
      </c>
      <c r="W78" s="53"/>
      <c r="X78" s="93">
        <f>X80*'IS Modelling'!X31</f>
        <v>36896.395394399995</v>
      </c>
      <c r="Y78" s="53"/>
      <c r="Z78" s="93">
        <f>Z80*'IS Modelling'!Z31</f>
        <v>34895.477677215</v>
      </c>
      <c r="AA78" s="53"/>
      <c r="AB78" s="93">
        <f>AB80*'IS Modelling'!AB31</f>
        <v>35447.361561075755</v>
      </c>
      <c r="AC78" s="53"/>
      <c r="AD78" s="93">
        <f>AD80*'IS Modelling'!AD31</f>
        <v>36167.935639129544</v>
      </c>
    </row>
    <row r="79" spans="2:30" ht="28.8" x14ac:dyDescent="0.3">
      <c r="B79" s="15" t="s">
        <v>333</v>
      </c>
      <c r="D79" s="18"/>
      <c r="F79" s="18"/>
      <c r="H79" s="18">
        <f>-H77/(H30/1000)</f>
        <v>1.0002508808097996</v>
      </c>
      <c r="J79" s="18">
        <f>-J77/(J30/1000)</f>
        <v>1.0000511099374756</v>
      </c>
      <c r="L79" s="18">
        <f>-L77/(L30/1000)</f>
        <v>1.0002371552529887</v>
      </c>
      <c r="N79" s="53">
        <v>1</v>
      </c>
      <c r="O79" s="53"/>
      <c r="P79" s="53">
        <v>1</v>
      </c>
      <c r="Q79" s="53"/>
      <c r="R79" s="53">
        <v>1</v>
      </c>
      <c r="S79" s="53"/>
      <c r="T79" s="53">
        <v>1</v>
      </c>
      <c r="U79" s="53"/>
      <c r="V79" s="53">
        <v>1</v>
      </c>
      <c r="W79" s="53"/>
      <c r="X79" s="53">
        <v>1</v>
      </c>
      <c r="Y79" s="53"/>
      <c r="Z79" s="53">
        <v>1</v>
      </c>
      <c r="AA79" s="53"/>
      <c r="AB79" s="53">
        <v>1</v>
      </c>
      <c r="AC79" s="53"/>
      <c r="AD79" s="53">
        <v>1</v>
      </c>
    </row>
    <row r="80" spans="2:30" x14ac:dyDescent="0.3">
      <c r="B80" s="15" t="s">
        <v>334</v>
      </c>
      <c r="D80" s="18"/>
      <c r="F80" s="18"/>
      <c r="H80" s="18">
        <f>H78/('Financial Statements'!H10/1000)</f>
        <v>3.2141144125835054E-2</v>
      </c>
      <c r="J80" s="18">
        <f>J78/('Financial Statements'!J10/1000)</f>
        <v>3.6784916549329537E-3</v>
      </c>
      <c r="L80" s="18">
        <f>L78/('Financial Statements'!L10/1000)</f>
        <v>-7.1811155075268751E-2</v>
      </c>
      <c r="N80" s="53">
        <v>0.03</v>
      </c>
      <c r="O80" s="53"/>
      <c r="P80" s="53">
        <v>0.03</v>
      </c>
      <c r="Q80" s="53"/>
      <c r="R80" s="53">
        <v>0.03</v>
      </c>
      <c r="S80" s="53"/>
      <c r="T80" s="53">
        <v>0.03</v>
      </c>
      <c r="U80" s="53"/>
      <c r="V80" s="53">
        <v>0.03</v>
      </c>
      <c r="W80" s="53"/>
      <c r="X80" s="53">
        <v>0.03</v>
      </c>
      <c r="Y80" s="53"/>
      <c r="Z80" s="53">
        <v>0.03</v>
      </c>
      <c r="AA80" s="53"/>
      <c r="AB80" s="53">
        <v>0.03</v>
      </c>
      <c r="AC80" s="53"/>
      <c r="AD80" s="53">
        <v>0.03</v>
      </c>
    </row>
    <row r="81" spans="1:30" x14ac:dyDescent="0.3">
      <c r="B81" s="15"/>
      <c r="D81" s="18"/>
      <c r="F81" s="18"/>
      <c r="H81" s="18"/>
      <c r="J81" s="18"/>
      <c r="L81" s="18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</row>
    <row r="82" spans="1:30" ht="15" thickBot="1" x14ac:dyDescent="0.35">
      <c r="B82" s="14"/>
      <c r="C82" s="5"/>
      <c r="D82" s="5"/>
      <c r="E82" s="5"/>
      <c r="F82" s="54"/>
      <c r="G82" s="5"/>
      <c r="H82" s="54"/>
      <c r="I82" s="5"/>
      <c r="J82" s="54"/>
      <c r="K82" s="5"/>
      <c r="L82" s="54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4" spans="1:30" s="6" customFormat="1" ht="28.8" x14ac:dyDescent="0.3">
      <c r="A84" s="6">
        <v>3</v>
      </c>
      <c r="B84" s="15" t="s">
        <v>160</v>
      </c>
    </row>
    <row r="85" spans="1:30" x14ac:dyDescent="0.3">
      <c r="B85" s="16" t="s">
        <v>161</v>
      </c>
      <c r="D85" s="4" t="s">
        <v>166</v>
      </c>
    </row>
    <row r="86" spans="1:30" x14ac:dyDescent="0.3">
      <c r="B86" s="16" t="s">
        <v>162</v>
      </c>
      <c r="D86" s="4" t="s">
        <v>167</v>
      </c>
    </row>
    <row r="87" spans="1:30" x14ac:dyDescent="0.3">
      <c r="B87" s="16" t="s">
        <v>163</v>
      </c>
      <c r="D87" s="4" t="s">
        <v>168</v>
      </c>
    </row>
    <row r="88" spans="1:30" x14ac:dyDescent="0.3">
      <c r="B88" s="16" t="s">
        <v>164</v>
      </c>
      <c r="D88" s="4" t="s">
        <v>169</v>
      </c>
    </row>
    <row r="89" spans="1:30" x14ac:dyDescent="0.3">
      <c r="B89" s="16" t="s">
        <v>165</v>
      </c>
      <c r="D89" s="4" t="s">
        <v>170</v>
      </c>
    </row>
    <row r="91" spans="1:30" x14ac:dyDescent="0.3">
      <c r="B91" s="16" t="s">
        <v>171</v>
      </c>
      <c r="D91" s="4">
        <v>4839</v>
      </c>
      <c r="F91" s="4">
        <v>10605</v>
      </c>
      <c r="H91" s="4">
        <v>12838</v>
      </c>
      <c r="J91" s="4">
        <v>16520</v>
      </c>
      <c r="L91" s="4">
        <v>20340</v>
      </c>
      <c r="N91" s="17">
        <f>N101*N$96</f>
        <v>22672.550823763737</v>
      </c>
      <c r="P91" s="17">
        <f>P101*P$96</f>
        <v>25530.763552745466</v>
      </c>
      <c r="R91" s="17">
        <f>R101*R$96</f>
        <v>28736.242372466615</v>
      </c>
      <c r="T91" s="17">
        <f>T101*T$96</f>
        <v>31760.194436412567</v>
      </c>
      <c r="V91" s="17">
        <f>V101*V$96</f>
        <v>34586.941020591636</v>
      </c>
      <c r="X91" s="17">
        <f>X101*X$96</f>
        <v>37150.009773860373</v>
      </c>
      <c r="Z91" s="17">
        <f>Z101*Z$96</f>
        <v>39574.08148896433</v>
      </c>
      <c r="AB91" s="17">
        <f>AB101*AB$96</f>
        <v>42036.490725201053</v>
      </c>
      <c r="AD91" s="17">
        <f>AD101*AD$96</f>
        <v>44548.955824188961</v>
      </c>
    </row>
    <row r="92" spans="1:30" ht="43.2" x14ac:dyDescent="0.3">
      <c r="B92" s="16" t="s">
        <v>172</v>
      </c>
      <c r="D92" s="4">
        <v>66953</v>
      </c>
      <c r="F92" s="4">
        <v>83823</v>
      </c>
      <c r="H92" s="4">
        <v>107202</v>
      </c>
      <c r="J92" s="4">
        <v>108908</v>
      </c>
      <c r="L92" s="4">
        <v>147130</v>
      </c>
      <c r="N92" s="17">
        <f>N102*N$96</f>
        <v>196342.2837133671</v>
      </c>
      <c r="P92" s="17">
        <f t="shared" ref="N92:P94" si="0">P102*P$96</f>
        <v>251721.27871216927</v>
      </c>
      <c r="R92" s="17">
        <f t="shared" ref="R92" si="1">R102*R$96</f>
        <v>317798.25801326247</v>
      </c>
      <c r="T92" s="17">
        <f t="shared" ref="T92" si="2">T102*T$96</f>
        <v>351240.58097885706</v>
      </c>
      <c r="V92" s="17">
        <f t="shared" ref="V92" si="3">V102*V$96</f>
        <v>382501.98003908276</v>
      </c>
      <c r="X92" s="17">
        <f t="shared" ref="X92" si="4">X102*X$96</f>
        <v>410847.32785454643</v>
      </c>
      <c r="Z92" s="17">
        <f t="shared" ref="Z92" si="5">Z102*Z$96</f>
        <v>437655.48733392835</v>
      </c>
      <c r="AB92" s="17">
        <f t="shared" ref="AB92" si="6">AB102*AB$96</f>
        <v>464887.62700092926</v>
      </c>
      <c r="AD92" s="17">
        <f t="shared" ref="AD92" si="7">AD102*AD$96</f>
        <v>492673.34168930864</v>
      </c>
    </row>
    <row r="93" spans="1:30" x14ac:dyDescent="0.3">
      <c r="B93" s="16" t="s">
        <v>163</v>
      </c>
      <c r="D93" s="4">
        <v>91772</v>
      </c>
      <c r="F93" s="4">
        <v>107006</v>
      </c>
      <c r="H93" s="4">
        <v>130131</v>
      </c>
      <c r="J93" s="4">
        <v>129933</v>
      </c>
      <c r="L93" s="4">
        <v>190157</v>
      </c>
      <c r="N93" s="17">
        <f t="shared" si="0"/>
        <v>211963.82728586238</v>
      </c>
      <c r="P93" s="17">
        <f t="shared" si="0"/>
        <v>238685.02482298031</v>
      </c>
      <c r="R93" s="17">
        <f t="shared" ref="R93" si="8">R103*R$96</f>
        <v>268652.7847011374</v>
      </c>
      <c r="T93" s="17">
        <f t="shared" ref="T93" si="9">T103*T$96</f>
        <v>296923.46575442009</v>
      </c>
      <c r="V93" s="17">
        <f t="shared" ref="V93" si="10">V103*V$96</f>
        <v>323350.48887181137</v>
      </c>
      <c r="X93" s="17">
        <f t="shared" ref="X93" si="11">X103*X$96</f>
        <v>347312.40946745168</v>
      </c>
      <c r="Z93" s="17">
        <f t="shared" ref="Z93" si="12">Z103*Z$96</f>
        <v>369974.85809719714</v>
      </c>
      <c r="AB93" s="17">
        <f t="shared" ref="AB93" si="13">AB103*AB$96</f>
        <v>392995.72108318866</v>
      </c>
      <c r="AD93" s="17">
        <f t="shared" ref="AD93" si="14">AD103*AD$96</f>
        <v>416484.55224485247</v>
      </c>
    </row>
    <row r="94" spans="1:30" x14ac:dyDescent="0.3">
      <c r="B94" s="16" t="s">
        <v>164</v>
      </c>
      <c r="D94" s="4">
        <v>15691</v>
      </c>
      <c r="F94" s="4">
        <v>21832</v>
      </c>
      <c r="H94" s="4">
        <v>25354</v>
      </c>
      <c r="J94" s="4">
        <v>39683</v>
      </c>
      <c r="L94" s="4">
        <v>52564</v>
      </c>
      <c r="N94" s="17">
        <f t="shared" si="0"/>
        <v>58591.935177006737</v>
      </c>
      <c r="P94" s="17">
        <f t="shared" si="0"/>
        <v>65978.321307104852</v>
      </c>
      <c r="R94" s="17">
        <f t="shared" ref="R94" si="15">R104*R$96</f>
        <v>74262.135893133483</v>
      </c>
      <c r="T94" s="17">
        <f t="shared" ref="T94" si="16">T104*T$96</f>
        <v>82076.836792310234</v>
      </c>
      <c r="V94" s="17">
        <f t="shared" ref="V94" si="17">V104*V$96</f>
        <v>89381.905988514191</v>
      </c>
      <c r="X94" s="17">
        <f t="shared" ref="X94" si="18">X104*X$96</f>
        <v>96005.561148141438</v>
      </c>
      <c r="Z94" s="17">
        <f t="shared" ref="Z94" si="19">Z104*Z$96</f>
        <v>102270.01078593514</v>
      </c>
      <c r="AB94" s="17">
        <f t="shared" ref="AB94" si="20">AB104*AB$96</f>
        <v>108633.53483183226</v>
      </c>
      <c r="AD94" s="17">
        <f t="shared" ref="AD94" si="21">AD104*AD$96</f>
        <v>115126.4166146838</v>
      </c>
    </row>
    <row r="95" spans="1:30" x14ac:dyDescent="0.3">
      <c r="B95" s="16" t="s">
        <v>173</v>
      </c>
      <c r="D95" s="4">
        <v>105452</v>
      </c>
      <c r="F95" s="4">
        <v>98345</v>
      </c>
      <c r="H95" s="4">
        <v>117884</v>
      </c>
      <c r="J95" s="4">
        <v>126531</v>
      </c>
      <c r="L95" s="4">
        <v>77813</v>
      </c>
      <c r="N95" s="17">
        <f>N105*N$96</f>
        <v>54396.733</v>
      </c>
      <c r="P95" s="17">
        <f>P105*P$96</f>
        <v>30627.125704999999</v>
      </c>
      <c r="R95" s="17">
        <f>R105*R$96</f>
        <v>0</v>
      </c>
      <c r="T95" s="17">
        <f>T105*T$96</f>
        <v>0</v>
      </c>
      <c r="V95" s="17">
        <f>V105*V$96</f>
        <v>0</v>
      </c>
      <c r="X95" s="17">
        <f>X105*X$96</f>
        <v>0</v>
      </c>
      <c r="Z95" s="17">
        <f>Z105*Z$96</f>
        <v>0</v>
      </c>
      <c r="AB95" s="17">
        <f>AB105*AB$96</f>
        <v>0</v>
      </c>
      <c r="AD95" s="17">
        <f>AD105*AD$96</f>
        <v>0</v>
      </c>
    </row>
    <row r="96" spans="1:30" s="6" customFormat="1" x14ac:dyDescent="0.3">
      <c r="B96" s="15" t="s">
        <v>175</v>
      </c>
      <c r="D96" s="6">
        <f>SUM(D91:D95)</f>
        <v>284707</v>
      </c>
      <c r="F96" s="6">
        <f>SUM(F91:F95)</f>
        <v>321611</v>
      </c>
      <c r="H96" s="6">
        <f>SUM(H91:H95)</f>
        <v>393409</v>
      </c>
      <c r="J96" s="6">
        <f>SUM(J91:J95)</f>
        <v>421575</v>
      </c>
      <c r="L96" s="6">
        <f>SUM(L91:L95)</f>
        <v>488004</v>
      </c>
      <c r="N96" s="21">
        <f>L96+N111</f>
        <v>543967.32999999996</v>
      </c>
      <c r="P96" s="21">
        <f>N96+P111</f>
        <v>612542.51409999991</v>
      </c>
      <c r="R96" s="21">
        <f>P96+R111</f>
        <v>689449.42097999994</v>
      </c>
      <c r="T96" s="21">
        <f>R96+T111</f>
        <v>762001.07796199992</v>
      </c>
      <c r="V96" s="21">
        <f>T96+V111</f>
        <v>829821.31591999996</v>
      </c>
      <c r="X96" s="21">
        <f>V96+X111</f>
        <v>891315.30824399996</v>
      </c>
      <c r="Z96" s="21">
        <f>X96+Z111</f>
        <v>949474.43770602497</v>
      </c>
      <c r="AB96" s="21">
        <f>Z96+AB111</f>
        <v>1008553.3736411512</v>
      </c>
      <c r="AD96" s="21">
        <f>AB96+AD111</f>
        <v>1068833.2663730339</v>
      </c>
    </row>
    <row r="97" spans="2:30" ht="28.8" x14ac:dyDescent="0.3">
      <c r="B97" s="16" t="s">
        <v>335</v>
      </c>
      <c r="D97" s="4">
        <v>-42943</v>
      </c>
      <c r="F97" s="4">
        <v>-57371</v>
      </c>
      <c r="H97" s="4">
        <v>-79430</v>
      </c>
      <c r="J97" s="4">
        <v>-93767</v>
      </c>
      <c r="L97" s="4">
        <v>-111556</v>
      </c>
      <c r="N97" s="17">
        <f>L97-N108</f>
        <v>-135700.63800891867</v>
      </c>
      <c r="P97" s="17">
        <f>N97-P108</f>
        <v>-162614.13517600746</v>
      </c>
      <c r="R97" s="17">
        <f>P97-R108</f>
        <v>-192920.47952567972</v>
      </c>
      <c r="T97" s="17">
        <f>R97-T108</f>
        <v>-227031.8939710955</v>
      </c>
      <c r="V97" s="17">
        <f>T97-V108</f>
        <v>-264732.89681082283</v>
      </c>
      <c r="X97" s="17">
        <f>V97-X108</f>
        <v>-305789.39488250448</v>
      </c>
      <c r="Z97" s="17">
        <f>X97-Z108</f>
        <v>-349888.38888533879</v>
      </c>
      <c r="AB97" s="17">
        <f>Z97-AB108</f>
        <v>-396864.88210493035</v>
      </c>
      <c r="AD97" s="17">
        <f>AB97-AD108</f>
        <v>-446764.38317303488</v>
      </c>
    </row>
    <row r="98" spans="2:30" s="6" customFormat="1" ht="28.8" x14ac:dyDescent="0.3">
      <c r="B98" s="15" t="s">
        <v>174</v>
      </c>
      <c r="D98" s="6">
        <f>D96+D97</f>
        <v>241764</v>
      </c>
      <c r="F98" s="6">
        <f>F96+F97</f>
        <v>264240</v>
      </c>
      <c r="H98" s="6">
        <f>H96+H97</f>
        <v>313979</v>
      </c>
      <c r="J98" s="6">
        <f>J96+J97</f>
        <v>327808</v>
      </c>
      <c r="L98" s="6">
        <f>L96+L97</f>
        <v>376448</v>
      </c>
      <c r="N98" s="21">
        <f>N96+N97</f>
        <v>408266.69199108129</v>
      </c>
      <c r="P98" s="21">
        <f>P96+P97</f>
        <v>449928.37892399245</v>
      </c>
      <c r="R98" s="21">
        <f>R96+R97</f>
        <v>496528.94145432021</v>
      </c>
      <c r="T98" s="21">
        <f>T96+T97</f>
        <v>534969.18399090436</v>
      </c>
      <c r="V98" s="21">
        <f>V96+V97</f>
        <v>565088.41910917708</v>
      </c>
      <c r="X98" s="21">
        <f>X96+X97</f>
        <v>585525.91336149548</v>
      </c>
      <c r="Z98" s="21">
        <f>Z96+Z97</f>
        <v>599586.04882068618</v>
      </c>
      <c r="AB98" s="21">
        <f>AB96+AB97</f>
        <v>611688.49153622088</v>
      </c>
      <c r="AD98" s="21">
        <f>AD96+AD97</f>
        <v>622068.88319999899</v>
      </c>
    </row>
    <row r="99" spans="2:30" s="6" customFormat="1" x14ac:dyDescent="0.3">
      <c r="B99" s="15"/>
    </row>
    <row r="100" spans="2:30" s="6" customFormat="1" x14ac:dyDescent="0.3">
      <c r="B100" s="15" t="s">
        <v>196</v>
      </c>
    </row>
    <row r="101" spans="2:30" s="6" customFormat="1" x14ac:dyDescent="0.3">
      <c r="B101" s="16" t="s">
        <v>171</v>
      </c>
      <c r="D101" s="27">
        <f>D91/D$96</f>
        <v>1.6996420881818852E-2</v>
      </c>
      <c r="F101" s="52">
        <f>F91/F$96</f>
        <v>3.2974618405464985E-2</v>
      </c>
      <c r="G101" s="55"/>
      <c r="H101" s="52">
        <f>H91/H$96</f>
        <v>3.2632705403282586E-2</v>
      </c>
      <c r="I101" s="55"/>
      <c r="J101" s="52">
        <f>J91/J$96</f>
        <v>3.9186384391863845E-2</v>
      </c>
      <c r="K101" s="55"/>
      <c r="L101" s="52">
        <f>L91/L$96</f>
        <v>4.1679986229621067E-2</v>
      </c>
      <c r="M101" s="55"/>
      <c r="N101" s="56">
        <f>$L$101</f>
        <v>4.1679986229621067E-2</v>
      </c>
      <c r="O101" s="38"/>
      <c r="P101" s="56">
        <f>$L$101</f>
        <v>4.1679986229621067E-2</v>
      </c>
      <c r="Q101" s="38"/>
      <c r="R101" s="56">
        <f>$L$101</f>
        <v>4.1679986229621067E-2</v>
      </c>
      <c r="S101" s="38"/>
      <c r="T101" s="56">
        <f>$L$101</f>
        <v>4.1679986229621067E-2</v>
      </c>
      <c r="U101" s="38"/>
      <c r="V101" s="56">
        <f>$L$101</f>
        <v>4.1679986229621067E-2</v>
      </c>
      <c r="W101" s="38"/>
      <c r="X101" s="56">
        <f>$L$101</f>
        <v>4.1679986229621067E-2</v>
      </c>
      <c r="Y101" s="38"/>
      <c r="Z101" s="56">
        <f>$L$101</f>
        <v>4.1679986229621067E-2</v>
      </c>
      <c r="AA101" s="38"/>
      <c r="AB101" s="56">
        <f>$L$101</f>
        <v>4.1679986229621067E-2</v>
      </c>
      <c r="AC101" s="38"/>
      <c r="AD101" s="56">
        <f>$L$101</f>
        <v>4.1679986229621067E-2</v>
      </c>
    </row>
    <row r="102" spans="2:30" s="6" customFormat="1" ht="43.2" x14ac:dyDescent="0.3">
      <c r="B102" s="16" t="s">
        <v>172</v>
      </c>
      <c r="D102" s="27">
        <f t="shared" ref="D102:F106" si="22">D92/D$96</f>
        <v>0.23516457270105759</v>
      </c>
      <c r="F102" s="52">
        <f t="shared" si="22"/>
        <v>0.26063474197089032</v>
      </c>
      <c r="G102" s="55"/>
      <c r="H102" s="52">
        <f t="shared" ref="H102" si="23">H92/H$96</f>
        <v>0.27249503697170119</v>
      </c>
      <c r="I102" s="55"/>
      <c r="J102" s="52">
        <f t="shared" ref="J102" si="24">J92/J$96</f>
        <v>0.25833600189764572</v>
      </c>
      <c r="K102" s="55"/>
      <c r="L102" s="52">
        <f t="shared" ref="L102" si="25">L92/L$96</f>
        <v>0.30149343038171816</v>
      </c>
      <c r="M102" s="55"/>
      <c r="N102" s="56">
        <f>N106-SUM(N101,N103:N105)</f>
        <v>0.36094499225416188</v>
      </c>
      <c r="O102" s="38"/>
      <c r="P102" s="56">
        <f>P106-SUM(P101,P103:P105)</f>
        <v>0.41094499225416181</v>
      </c>
      <c r="Q102" s="38"/>
      <c r="R102" s="56">
        <f>R106-SUM(R101,R103:R105)</f>
        <v>0.46094499225416186</v>
      </c>
      <c r="S102" s="38"/>
      <c r="T102" s="56">
        <f>T106-SUM(T101,T103:T105)</f>
        <v>0.46094499225416186</v>
      </c>
      <c r="U102" s="38"/>
      <c r="V102" s="56">
        <f>V106-SUM(V101,V103:V105)</f>
        <v>0.46094499225416186</v>
      </c>
      <c r="W102" s="38"/>
      <c r="X102" s="56">
        <f>X106-SUM(X101,X103:X105)</f>
        <v>0.46094499225416186</v>
      </c>
      <c r="Y102" s="38"/>
      <c r="Z102" s="56">
        <f>Z106-SUM(Z101,Z103:Z105)</f>
        <v>0.46094499225416186</v>
      </c>
      <c r="AA102" s="38"/>
      <c r="AB102" s="56">
        <f>AB106-SUM(AB101,AB103:AB105)</f>
        <v>0.46094499225416186</v>
      </c>
      <c r="AC102" s="38"/>
      <c r="AD102" s="56">
        <f>AD106-SUM(AD101,AD103:AD105)</f>
        <v>0.46094499225416186</v>
      </c>
    </row>
    <row r="103" spans="2:30" s="6" customFormat="1" x14ac:dyDescent="0.3">
      <c r="B103" s="16" t="s">
        <v>163</v>
      </c>
      <c r="D103" s="27">
        <f t="shared" si="22"/>
        <v>0.32233840404345521</v>
      </c>
      <c r="F103" s="52">
        <f t="shared" si="22"/>
        <v>0.33271871919803736</v>
      </c>
      <c r="G103" s="55"/>
      <c r="H103" s="52">
        <f t="shared" ref="H103" si="26">H93/H$96</f>
        <v>0.33077789272741598</v>
      </c>
      <c r="I103" s="55"/>
      <c r="J103" s="52">
        <f t="shared" ref="J103" si="27">J93/J$96</f>
        <v>0.30820850382494219</v>
      </c>
      <c r="K103" s="55"/>
      <c r="L103" s="52">
        <f t="shared" ref="L103" si="28">L93/L$96</f>
        <v>0.38966278964926515</v>
      </c>
      <c r="M103" s="55"/>
      <c r="N103" s="53">
        <f>$L$103</f>
        <v>0.38966278964926515</v>
      </c>
      <c r="O103" s="38"/>
      <c r="P103" s="53">
        <f>$L$103</f>
        <v>0.38966278964926515</v>
      </c>
      <c r="Q103" s="38"/>
      <c r="R103" s="53">
        <f>$L$103</f>
        <v>0.38966278964926515</v>
      </c>
      <c r="S103" s="38"/>
      <c r="T103" s="53">
        <f>$L$103</f>
        <v>0.38966278964926515</v>
      </c>
      <c r="U103" s="38"/>
      <c r="V103" s="53">
        <f>$L$103</f>
        <v>0.38966278964926515</v>
      </c>
      <c r="W103" s="38"/>
      <c r="X103" s="53">
        <f>$L$103</f>
        <v>0.38966278964926515</v>
      </c>
      <c r="Y103" s="38"/>
      <c r="Z103" s="53">
        <f>$L$103</f>
        <v>0.38966278964926515</v>
      </c>
      <c r="AA103" s="38"/>
      <c r="AB103" s="53">
        <f>$L$103</f>
        <v>0.38966278964926515</v>
      </c>
      <c r="AC103" s="38"/>
      <c r="AD103" s="53">
        <f>$L$103</f>
        <v>0.38966278964926515</v>
      </c>
    </row>
    <row r="104" spans="2:30" s="6" customFormat="1" x14ac:dyDescent="0.3">
      <c r="B104" s="16" t="s">
        <v>164</v>
      </c>
      <c r="D104" s="27">
        <f t="shared" si="22"/>
        <v>5.51128001770241E-2</v>
      </c>
      <c r="F104" s="52">
        <f t="shared" si="22"/>
        <v>6.788325026196243E-2</v>
      </c>
      <c r="G104" s="55"/>
      <c r="H104" s="52">
        <f t="shared" ref="H104" si="29">H94/H$96</f>
        <v>6.444692419339669E-2</v>
      </c>
      <c r="I104" s="55"/>
      <c r="J104" s="52">
        <f t="shared" ref="J104" si="30">J94/J$96</f>
        <v>9.4130344541303451E-2</v>
      </c>
      <c r="K104" s="55"/>
      <c r="L104" s="52">
        <f t="shared" ref="L104" si="31">L94/L$96</f>
        <v>0.1077122318669519</v>
      </c>
      <c r="M104" s="55"/>
      <c r="N104" s="56">
        <f>$L$104</f>
        <v>0.1077122318669519</v>
      </c>
      <c r="O104" s="38"/>
      <c r="P104" s="56">
        <f>$L$104</f>
        <v>0.1077122318669519</v>
      </c>
      <c r="Q104" s="38"/>
      <c r="R104" s="56">
        <f>$L$104</f>
        <v>0.1077122318669519</v>
      </c>
      <c r="S104" s="38"/>
      <c r="T104" s="56">
        <f>$L$104</f>
        <v>0.1077122318669519</v>
      </c>
      <c r="U104" s="38"/>
      <c r="V104" s="56">
        <f>$L$104</f>
        <v>0.1077122318669519</v>
      </c>
      <c r="W104" s="38"/>
      <c r="X104" s="56">
        <f>$L$104</f>
        <v>0.1077122318669519</v>
      </c>
      <c r="Y104" s="38"/>
      <c r="Z104" s="56">
        <f>$L$104</f>
        <v>0.1077122318669519</v>
      </c>
      <c r="AA104" s="38"/>
      <c r="AB104" s="56">
        <f>$L$104</f>
        <v>0.1077122318669519</v>
      </c>
      <c r="AC104" s="38"/>
      <c r="AD104" s="56">
        <f>$L$104</f>
        <v>0.1077122318669519</v>
      </c>
    </row>
    <row r="105" spans="2:30" s="6" customFormat="1" x14ac:dyDescent="0.3">
      <c r="B105" s="16" t="s">
        <v>173</v>
      </c>
      <c r="D105" s="27">
        <f t="shared" si="22"/>
        <v>0.37038780219664424</v>
      </c>
      <c r="F105" s="52">
        <f t="shared" si="22"/>
        <v>0.30578867016364492</v>
      </c>
      <c r="G105" s="55"/>
      <c r="H105" s="52">
        <f t="shared" ref="H105" si="32">H95/H$96</f>
        <v>0.29964744070420352</v>
      </c>
      <c r="I105" s="55"/>
      <c r="J105" s="52">
        <f t="shared" ref="J105" si="33">J95/J$96</f>
        <v>0.30013876534424477</v>
      </c>
      <c r="K105" s="55"/>
      <c r="L105" s="52">
        <f t="shared" ref="L105" si="34">L95/L$96</f>
        <v>0.15945156187244366</v>
      </c>
      <c r="M105" s="55"/>
      <c r="N105" s="57">
        <v>0.1</v>
      </c>
      <c r="O105" s="38"/>
      <c r="P105" s="57">
        <v>0.05</v>
      </c>
      <c r="Q105" s="38"/>
      <c r="R105" s="57">
        <v>0</v>
      </c>
      <c r="S105" s="38"/>
      <c r="T105" s="57">
        <v>0</v>
      </c>
      <c r="U105" s="38"/>
      <c r="V105" s="57">
        <v>0</v>
      </c>
      <c r="W105" s="38"/>
      <c r="X105" s="57">
        <v>0</v>
      </c>
      <c r="Y105" s="38"/>
      <c r="Z105" s="57">
        <v>0</v>
      </c>
      <c r="AA105" s="38"/>
      <c r="AB105" s="57">
        <v>0</v>
      </c>
      <c r="AC105" s="38"/>
      <c r="AD105" s="38">
        <v>0</v>
      </c>
    </row>
    <row r="106" spans="2:30" s="6" customFormat="1" x14ac:dyDescent="0.3">
      <c r="B106" s="15" t="s">
        <v>175</v>
      </c>
      <c r="D106" s="27">
        <f t="shared" si="22"/>
        <v>1</v>
      </c>
      <c r="F106" s="27">
        <f t="shared" si="22"/>
        <v>1</v>
      </c>
      <c r="H106" s="27">
        <f t="shared" ref="H106" si="35">H96/H$96</f>
        <v>1</v>
      </c>
      <c r="J106" s="27">
        <f t="shared" ref="J106" si="36">J96/J$96</f>
        <v>1</v>
      </c>
      <c r="L106" s="27">
        <f t="shared" ref="L106" si="37">L96/L$96</f>
        <v>1</v>
      </c>
      <c r="N106" s="58">
        <v>1</v>
      </c>
      <c r="P106" s="58">
        <v>1</v>
      </c>
      <c r="R106" s="58">
        <v>1</v>
      </c>
      <c r="T106" s="58">
        <v>1</v>
      </c>
      <c r="V106" s="58">
        <v>1</v>
      </c>
      <c r="X106" s="58">
        <v>1</v>
      </c>
      <c r="Z106" s="58">
        <v>1</v>
      </c>
      <c r="AB106" s="58">
        <v>1</v>
      </c>
      <c r="AD106" s="58">
        <v>1</v>
      </c>
    </row>
    <row r="107" spans="2:30" s="6" customFormat="1" x14ac:dyDescent="0.3">
      <c r="B107" s="15"/>
    </row>
    <row r="108" spans="2:30" s="6" customFormat="1" x14ac:dyDescent="0.3">
      <c r="B108" s="59" t="s">
        <v>192</v>
      </c>
      <c r="D108" s="55"/>
      <c r="F108" s="55">
        <f>-F97+D97</f>
        <v>14428</v>
      </c>
      <c r="H108" s="55">
        <f>-H97+F97</f>
        <v>22059</v>
      </c>
      <c r="J108" s="55">
        <f>-J97+H97</f>
        <v>14337</v>
      </c>
      <c r="L108" s="55">
        <f>-L97+J97</f>
        <v>17789</v>
      </c>
      <c r="N108" s="21">
        <f>N109*L96</f>
        <v>24144.638008918671</v>
      </c>
      <c r="P108" s="21">
        <f>P109*N96</f>
        <v>26913.497167088804</v>
      </c>
      <c r="R108" s="21">
        <f>R109*P96</f>
        <v>30306.344349672258</v>
      </c>
      <c r="T108" s="21">
        <f>T109*R96</f>
        <v>34111.414445415772</v>
      </c>
      <c r="V108" s="21">
        <f>V109*T96</f>
        <v>37701.002839727349</v>
      </c>
      <c r="X108" s="21">
        <f>X109*V96</f>
        <v>41056.498071681672</v>
      </c>
      <c r="Z108" s="21">
        <f>Z109*X96</f>
        <v>44098.99400283429</v>
      </c>
      <c r="AB108" s="21">
        <f>AB109*Z96</f>
        <v>46976.49321959159</v>
      </c>
      <c r="AD108" s="21">
        <f>AD109*AB96</f>
        <v>49899.501068104553</v>
      </c>
    </row>
    <row r="109" spans="2:30" ht="28.8" x14ac:dyDescent="0.3">
      <c r="B109" s="16" t="s">
        <v>193</v>
      </c>
      <c r="D109" s="18">
        <f>D108/D96</f>
        <v>0</v>
      </c>
      <c r="F109" s="18">
        <f>F108/D96</f>
        <v>5.0676660566828353E-2</v>
      </c>
      <c r="H109" s="18">
        <f>H108/F96</f>
        <v>6.8589071891197756E-2</v>
      </c>
      <c r="J109" s="18">
        <f>J108/H96</f>
        <v>3.6442989357132145E-2</v>
      </c>
      <c r="L109" s="18">
        <f>L108/J96</f>
        <v>4.2196524936250965E-2</v>
      </c>
      <c r="N109" s="53">
        <f>AVERAGE(F109:L109)</f>
        <v>4.9476311687852298E-2</v>
      </c>
      <c r="O109" s="53"/>
      <c r="P109" s="53">
        <f>N109</f>
        <v>4.9476311687852298E-2</v>
      </c>
      <c r="Q109" s="53"/>
      <c r="R109" s="53">
        <f>P109</f>
        <v>4.9476311687852298E-2</v>
      </c>
      <c r="S109" s="53"/>
      <c r="T109" s="53">
        <f>R109</f>
        <v>4.9476311687852298E-2</v>
      </c>
      <c r="U109" s="53"/>
      <c r="V109" s="53">
        <f>T109</f>
        <v>4.9476311687852298E-2</v>
      </c>
      <c r="W109" s="53"/>
      <c r="X109" s="53">
        <f>V109</f>
        <v>4.9476311687852298E-2</v>
      </c>
      <c r="Y109" s="53"/>
      <c r="Z109" s="53">
        <f>X109</f>
        <v>4.9476311687852298E-2</v>
      </c>
      <c r="AA109" s="53"/>
      <c r="AB109" s="53">
        <f>Z109</f>
        <v>4.9476311687852298E-2</v>
      </c>
      <c r="AC109" s="53"/>
      <c r="AD109" s="53">
        <f>AB109</f>
        <v>4.9476311687852298E-2</v>
      </c>
    </row>
    <row r="111" spans="2:30" x14ac:dyDescent="0.3">
      <c r="B111" s="16" t="s">
        <v>194</v>
      </c>
      <c r="F111" s="4">
        <f>F96-D96</f>
        <v>36904</v>
      </c>
      <c r="H111" s="4">
        <f>H96-F96</f>
        <v>71798</v>
      </c>
      <c r="J111" s="4">
        <f>J96-H96</f>
        <v>28166</v>
      </c>
      <c r="L111" s="4">
        <f>L96-J96</f>
        <v>66429</v>
      </c>
      <c r="N111" s="17">
        <f>N112*'Financial Statements'!N10</f>
        <v>55963.330000000009</v>
      </c>
      <c r="P111" s="17">
        <f>P112*'Financial Statements'!P10</f>
        <v>68575.184099999999</v>
      </c>
      <c r="R111" s="17">
        <f>R112*'Financial Statements'!R10</f>
        <v>76906.906879999995</v>
      </c>
      <c r="T111" s="17">
        <f>T112*'Financial Statements'!T10</f>
        <v>72551.656982</v>
      </c>
      <c r="V111" s="17">
        <f>V112*'Financial Statements'!V10</f>
        <v>67820.237957999998</v>
      </c>
      <c r="X111" s="17">
        <f>X112*'Financial Statements'!X10</f>
        <v>61493.992323999992</v>
      </c>
      <c r="Z111" s="17">
        <f>Z112*'Financial Statements'!Z10</f>
        <v>58159.129462025005</v>
      </c>
      <c r="AB111" s="17">
        <f>AB112*'Financial Statements'!AB10</f>
        <v>59078.935935126261</v>
      </c>
      <c r="AD111" s="17">
        <f>AD112*'Financial Statements'!AD10</f>
        <v>60279.892731882574</v>
      </c>
    </row>
    <row r="112" spans="2:30" x14ac:dyDescent="0.3">
      <c r="B112" s="16" t="s">
        <v>195</v>
      </c>
      <c r="F112" s="18">
        <f>F111/'Financial Statements'!F10</f>
        <v>0.11800028777438488</v>
      </c>
      <c r="H112" s="18">
        <f>H111/'Financial Statements'!H10</f>
        <v>0.17751306661128499</v>
      </c>
      <c r="J112" s="18">
        <f>J111/'Financial Statements'!J10</f>
        <v>5.7560219973800966E-2</v>
      </c>
      <c r="L112" s="18">
        <f>L111/'Financial Statements'!L10</f>
        <v>0.13590721425911756</v>
      </c>
      <c r="N112" s="56">
        <v>0.1</v>
      </c>
      <c r="O112" s="38"/>
      <c r="P112" s="56">
        <v>0.09</v>
      </c>
      <c r="Q112" s="38"/>
      <c r="R112" s="56">
        <v>0.08</v>
      </c>
      <c r="S112" s="38"/>
      <c r="T112" s="56">
        <v>7.0000000000000007E-2</v>
      </c>
      <c r="U112" s="38"/>
      <c r="V112" s="56">
        <v>0.06</v>
      </c>
      <c r="W112" s="38"/>
      <c r="X112" s="56">
        <v>0.05</v>
      </c>
      <c r="Y112" s="38"/>
      <c r="Z112" s="56">
        <f>X112</f>
        <v>0.05</v>
      </c>
      <c r="AA112" s="38"/>
      <c r="AB112" s="56">
        <f>Z112</f>
        <v>0.05</v>
      </c>
      <c r="AC112" s="38"/>
      <c r="AD112" s="56">
        <f>AB112</f>
        <v>0.05</v>
      </c>
    </row>
    <row r="113" spans="1:30" ht="15" thickBot="1" x14ac:dyDescent="0.35">
      <c r="B113" s="19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5" spans="1:30" x14ac:dyDescent="0.3">
      <c r="A115" s="6">
        <v>4</v>
      </c>
      <c r="B115" s="15" t="s">
        <v>176</v>
      </c>
      <c r="V115" s="6">
        <v>10036</v>
      </c>
      <c r="W115" s="6"/>
      <c r="X115" s="6" t="s">
        <v>198</v>
      </c>
    </row>
    <row r="116" spans="1:30" x14ac:dyDescent="0.3">
      <c r="B116" s="15" t="s">
        <v>197</v>
      </c>
      <c r="C116" s="6"/>
      <c r="D116" s="6"/>
      <c r="E116" s="6"/>
      <c r="F116" s="6"/>
      <c r="G116" s="6"/>
      <c r="H116" s="6">
        <v>7000</v>
      </c>
      <c r="I116" s="6"/>
      <c r="J116" s="6">
        <v>7400</v>
      </c>
      <c r="K116" s="6"/>
      <c r="L116" s="6">
        <v>6893</v>
      </c>
      <c r="M116" s="6"/>
      <c r="N116" s="60">
        <v>6217</v>
      </c>
      <c r="O116" s="60"/>
      <c r="P116" s="60">
        <v>6217</v>
      </c>
      <c r="Q116" s="60"/>
      <c r="R116" s="60">
        <v>5738</v>
      </c>
      <c r="S116" s="60"/>
      <c r="T116" s="60">
        <v>5657</v>
      </c>
      <c r="U116" s="60"/>
      <c r="V116" s="60">
        <f>0.5*V115</f>
        <v>5018</v>
      </c>
      <c r="W116" s="60"/>
      <c r="X116" s="60">
        <f>0.25*V115</f>
        <v>2509</v>
      </c>
      <c r="Y116" s="60"/>
      <c r="Z116" s="60">
        <f>0.25*V115</f>
        <v>2509</v>
      </c>
      <c r="AA116" s="60"/>
      <c r="AB116" s="60">
        <v>0</v>
      </c>
      <c r="AC116" s="60"/>
      <c r="AD116" s="60">
        <v>0</v>
      </c>
    </row>
    <row r="117" spans="1:30" x14ac:dyDescent="0.3">
      <c r="B117" s="16" t="s">
        <v>199</v>
      </c>
      <c r="J117" s="4">
        <v>57099</v>
      </c>
      <c r="L117" s="4">
        <f>$J$117+L118</f>
        <v>33865</v>
      </c>
      <c r="N117" s="4">
        <f>$J$117+N118</f>
        <v>27648</v>
      </c>
      <c r="P117" s="4">
        <f>$J$117+P118</f>
        <v>21431</v>
      </c>
      <c r="R117" s="4">
        <f>$J$117+R118</f>
        <v>15693</v>
      </c>
      <c r="T117" s="4">
        <f>$J$117+T118</f>
        <v>10036</v>
      </c>
      <c r="V117" s="4">
        <f>$J$117+V118</f>
        <v>5018</v>
      </c>
      <c r="X117" s="4">
        <f>$J$117+X118</f>
        <v>2509</v>
      </c>
      <c r="Z117" s="4">
        <f>$J$117+Z118</f>
        <v>0</v>
      </c>
      <c r="AB117" s="4">
        <f>$J$117+AB118</f>
        <v>0</v>
      </c>
      <c r="AD117" s="4">
        <f>$J$117+AD118</f>
        <v>0</v>
      </c>
    </row>
    <row r="118" spans="1:30" x14ac:dyDescent="0.3">
      <c r="B118" s="16" t="s">
        <v>200</v>
      </c>
      <c r="J118" s="4">
        <v>-16341</v>
      </c>
      <c r="L118" s="4">
        <f>J118-L116</f>
        <v>-23234</v>
      </c>
      <c r="N118" s="4">
        <f>L118-N116</f>
        <v>-29451</v>
      </c>
      <c r="P118" s="4">
        <f>N118-P116</f>
        <v>-35668</v>
      </c>
      <c r="R118" s="4">
        <f>P118-R116</f>
        <v>-41406</v>
      </c>
      <c r="T118" s="4">
        <f>R118-T116</f>
        <v>-47063</v>
      </c>
      <c r="V118" s="4">
        <f>T118-V116</f>
        <v>-52081</v>
      </c>
      <c r="X118" s="4">
        <f>V118-X116</f>
        <v>-54590</v>
      </c>
      <c r="Z118" s="4">
        <f>X118-Z116</f>
        <v>-57099</v>
      </c>
      <c r="AB118" s="4">
        <f>Z118-AB116</f>
        <v>-57099</v>
      </c>
      <c r="AD118" s="4">
        <f>AB118-AD116</f>
        <v>-57099</v>
      </c>
    </row>
    <row r="119" spans="1:30" ht="15" thickBot="1" x14ac:dyDescent="0.35">
      <c r="B119" s="19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1" spans="1:30" ht="28.8" x14ac:dyDescent="0.3">
      <c r="A121" s="6">
        <v>5</v>
      </c>
      <c r="B121" s="15" t="s">
        <v>203</v>
      </c>
    </row>
    <row r="122" spans="1:30" ht="28.8" x14ac:dyDescent="0.3">
      <c r="B122" s="16" t="s">
        <v>15</v>
      </c>
      <c r="D122" s="18">
        <f>'Financial Statements'!D13/'Financial Statements'!D$10</f>
        <v>0.1657672631510782</v>
      </c>
      <c r="F122" s="18">
        <f>'Financial Statements'!F13/'Financial Statements'!F$10</f>
        <v>0.19865065788421876</v>
      </c>
      <c r="H122" s="18">
        <f>'Financial Statements'!H13/'Financial Statements'!H$10</f>
        <v>0.25209288296173227</v>
      </c>
      <c r="J122" s="18">
        <f>'Financial Statements'!J13/'Financial Statements'!J$10</f>
        <v>0.21965908556784672</v>
      </c>
      <c r="L122" s="18">
        <f>'Financial Statements'!L13/'Financial Statements'!L$10</f>
        <v>0.26859417900004501</v>
      </c>
      <c r="N122" s="56">
        <f>$L$122</f>
        <v>0.26859417900004501</v>
      </c>
      <c r="O122" s="38"/>
      <c r="P122" s="56">
        <f>$L$122</f>
        <v>0.26859417900004501</v>
      </c>
      <c r="Q122" s="38"/>
      <c r="R122" s="56">
        <f>$L$122</f>
        <v>0.26859417900004501</v>
      </c>
      <c r="S122" s="38"/>
      <c r="T122" s="56">
        <f>$L$122</f>
        <v>0.26859417900004501</v>
      </c>
      <c r="U122" s="38"/>
      <c r="V122" s="56">
        <f>$L$122</f>
        <v>0.26859417900004501</v>
      </c>
      <c r="W122" s="38"/>
      <c r="X122" s="56">
        <f>$L$122</f>
        <v>0.26859417900004501</v>
      </c>
      <c r="Y122" s="38"/>
      <c r="Z122" s="56">
        <f>$L$122</f>
        <v>0.26859417900004501</v>
      </c>
      <c r="AA122" s="38"/>
      <c r="AB122" s="56">
        <f>$L$122</f>
        <v>0.26859417900004501</v>
      </c>
      <c r="AC122" s="38"/>
      <c r="AD122" s="56">
        <f>$L$122</f>
        <v>0.26859417900004501</v>
      </c>
    </row>
    <row r="123" spans="1:30" ht="28.8" x14ac:dyDescent="0.3">
      <c r="B123" s="16" t="s">
        <v>17</v>
      </c>
      <c r="D123" s="18">
        <f>'Financial Statements'!D17/'Financial Statements'!D$10</f>
        <v>0.26940013383124312</v>
      </c>
      <c r="F123" s="18">
        <f>'Financial Statements'!F17/'Financial Statements'!F$10</f>
        <v>0.27768309645238132</v>
      </c>
      <c r="H123" s="18">
        <f>'Financial Statements'!H17/'Financial Statements'!H$10</f>
        <v>0.26848733886161014</v>
      </c>
      <c r="J123" s="18">
        <f>'Financial Statements'!J17/'Financial Statements'!J$10</f>
        <v>0.24757270640936299</v>
      </c>
      <c r="L123" s="18">
        <f>'Financial Statements'!L17/'Financial Statements'!L$10</f>
        <v>0.29396745379330663</v>
      </c>
      <c r="N123" s="56">
        <v>0.28000000000000003</v>
      </c>
      <c r="O123" s="38"/>
      <c r="P123" s="56">
        <v>0.27</v>
      </c>
      <c r="Q123" s="38"/>
      <c r="R123" s="56">
        <v>0.26</v>
      </c>
      <c r="S123" s="38"/>
      <c r="T123" s="56">
        <v>0.25</v>
      </c>
      <c r="U123" s="38"/>
      <c r="V123" s="56">
        <v>0.25</v>
      </c>
      <c r="W123" s="38"/>
      <c r="X123" s="56">
        <v>0.25</v>
      </c>
      <c r="Y123" s="38"/>
      <c r="Z123" s="56">
        <v>0.25</v>
      </c>
      <c r="AA123" s="38"/>
      <c r="AB123" s="56">
        <v>0.25</v>
      </c>
      <c r="AC123" s="38"/>
      <c r="AD123" s="56">
        <v>0.25</v>
      </c>
    </row>
    <row r="124" spans="1:30" ht="15" thickBot="1" x14ac:dyDescent="0.35">
      <c r="B124" s="19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6" spans="1:30" x14ac:dyDescent="0.3">
      <c r="A126" s="6">
        <v>6</v>
      </c>
      <c r="B126" s="15" t="s">
        <v>202</v>
      </c>
    </row>
    <row r="127" spans="1:30" x14ac:dyDescent="0.3">
      <c r="B127" s="16" t="s">
        <v>298</v>
      </c>
      <c r="F127" s="18">
        <f>'Financial Statements'!F24/(('Financial Statements'!D130+'Financial Statements'!F130)/2)</f>
        <v>8.6603282202090944E-4</v>
      </c>
      <c r="G127" s="18"/>
      <c r="H127" s="18">
        <f>'Financial Statements'!H24/(('Financial Statements'!F130+'Financial Statements'!H130)/2)</f>
        <v>1.3917975282545772E-3</v>
      </c>
      <c r="I127" s="18"/>
      <c r="J127" s="18">
        <f>'Financial Statements'!J24/(('Financial Statements'!H130+'Financial Statements'!J130)/2)</f>
        <v>1.9429248831952283E-3</v>
      </c>
      <c r="K127" s="18"/>
      <c r="L127" s="18">
        <f>'Financial Statements'!L24/(('Financial Statements'!J130+'Financial Statements'!L130)/2)</f>
        <v>3.6321804983296454E-3</v>
      </c>
      <c r="M127" s="18"/>
      <c r="N127" s="53">
        <f>$L$127</f>
        <v>3.6321804983296454E-3</v>
      </c>
      <c r="O127" s="53"/>
      <c r="P127" s="53">
        <f>$L$127</f>
        <v>3.6321804983296454E-3</v>
      </c>
      <c r="Q127" s="53"/>
      <c r="R127" s="53">
        <f>$L$127</f>
        <v>3.6321804983296454E-3</v>
      </c>
      <c r="S127" s="53"/>
      <c r="T127" s="53">
        <f>$L$127</f>
        <v>3.6321804983296454E-3</v>
      </c>
      <c r="U127" s="53"/>
      <c r="V127" s="53">
        <f>$L$127</f>
        <v>3.6321804983296454E-3</v>
      </c>
      <c r="W127" s="53"/>
      <c r="X127" s="53">
        <f>$L$127</f>
        <v>3.6321804983296454E-3</v>
      </c>
      <c r="Y127" s="53"/>
      <c r="Z127" s="53">
        <f>$L$127</f>
        <v>3.6321804983296454E-3</v>
      </c>
      <c r="AA127" s="53"/>
      <c r="AB127" s="53">
        <f>$L$127</f>
        <v>3.6321804983296454E-3</v>
      </c>
      <c r="AC127" s="53"/>
      <c r="AD127" s="53">
        <f>$L$127</f>
        <v>3.6321804983296454E-3</v>
      </c>
    </row>
    <row r="128" spans="1:30" x14ac:dyDescent="0.3">
      <c r="B128" s="16" t="s">
        <v>299</v>
      </c>
      <c r="F128" s="18">
        <f>'Financial Statements'!F25/(('Financial Statements'!D153+'Financial Statements'!D159+'Financial Statements'!D164+'Financial Statements'!F153+'Financial Statements'!F159+'Financial Statements'!F164)/2)</f>
        <v>0</v>
      </c>
      <c r="G128" s="18"/>
      <c r="H128" s="18">
        <f>'Financial Statements'!H25/(('Financial Statements'!F153+'Financial Statements'!F159+'Financial Statements'!F164+'Financial Statements'!H153+'Financial Statements'!H159+'Financial Statements'!H164)/2)</f>
        <v>5.2651757188498405E-2</v>
      </c>
      <c r="I128" s="18"/>
      <c r="J128" s="18">
        <f>'Financial Statements'!J25/(('Financial Statements'!H153+'Financial Statements'!H159+'Financial Statements'!H164+'Financial Statements'!J153+'Financial Statements'!J159+'Financial Statements'!J164)/2)</f>
        <v>2.6202469611883702E-2</v>
      </c>
      <c r="K128" s="18"/>
      <c r="L128" s="18">
        <f>'Financial Statements'!L25/(('Financial Statements'!J153+'Financial Statements'!J159+'Financial Statements'!J164+'Financial Statements'!L153+'Financial Statements'!L159+'Financial Statements'!L164)/2)</f>
        <v>2.9581386678472814E-2</v>
      </c>
      <c r="M128" s="18"/>
      <c r="N128" s="53">
        <f>$L$128</f>
        <v>2.9581386678472814E-2</v>
      </c>
      <c r="O128" s="53"/>
      <c r="P128" s="53">
        <f>$L$128</f>
        <v>2.9581386678472814E-2</v>
      </c>
      <c r="Q128" s="53"/>
      <c r="R128" s="53">
        <f>$L$128</f>
        <v>2.9581386678472814E-2</v>
      </c>
      <c r="S128" s="53"/>
      <c r="T128" s="53">
        <f>$L$128</f>
        <v>2.9581386678472814E-2</v>
      </c>
      <c r="U128" s="53"/>
      <c r="V128" s="53">
        <f>$L$128</f>
        <v>2.9581386678472814E-2</v>
      </c>
      <c r="W128" s="53"/>
      <c r="X128" s="53">
        <f>$L$128</f>
        <v>2.9581386678472814E-2</v>
      </c>
      <c r="Y128" s="53"/>
      <c r="Z128" s="53">
        <f>$L$128</f>
        <v>2.9581386678472814E-2</v>
      </c>
      <c r="AA128" s="53"/>
      <c r="AB128" s="53">
        <f>$L$128</f>
        <v>2.9581386678472814E-2</v>
      </c>
      <c r="AC128" s="53"/>
      <c r="AD128" s="53">
        <f>$L$128</f>
        <v>2.9581386678472814E-2</v>
      </c>
    </row>
    <row r="129" spans="1:30" x14ac:dyDescent="0.3">
      <c r="B129" s="16" t="s">
        <v>23</v>
      </c>
      <c r="D129" s="18">
        <f>'Financial Statements'!D26/'Financial Statements'!D$10</f>
        <v>6.9901641231535248E-3</v>
      </c>
      <c r="F129" s="18">
        <f>'Financial Statements'!F26/'Financial Statements'!F$10</f>
        <v>1.3077747046315689E-3</v>
      </c>
      <c r="G129" s="18"/>
      <c r="H129" s="18">
        <f>'Financial Statements'!H26/'Financial Statements'!H$10</f>
        <v>7.2342298240148737E-3</v>
      </c>
      <c r="I129" s="18"/>
      <c r="J129" s="18">
        <f>'Financial Statements'!J26/'Financial Statements'!J$10</f>
        <v>3.1267179066930156E-4</v>
      </c>
      <c r="K129" s="18"/>
      <c r="L129" s="18">
        <f>'Financial Statements'!L26/'Financial Statements'!L$10</f>
        <v>5.3807218760101643E-4</v>
      </c>
      <c r="M129" s="18"/>
      <c r="N129" s="53">
        <f>AVERAGE($J$129:$L$129)</f>
        <v>4.25371989135159E-4</v>
      </c>
      <c r="O129" s="53"/>
      <c r="P129" s="53">
        <f>AVERAGE($J$129:$L$129)</f>
        <v>4.25371989135159E-4</v>
      </c>
      <c r="Q129" s="53"/>
      <c r="R129" s="53">
        <f>AVERAGE($J$129:$L$129)</f>
        <v>4.25371989135159E-4</v>
      </c>
      <c r="S129" s="53"/>
      <c r="T129" s="53">
        <f>AVERAGE($J$129:$L$129)</f>
        <v>4.25371989135159E-4</v>
      </c>
      <c r="U129" s="53"/>
      <c r="V129" s="53">
        <f>AVERAGE($J$129:$L$129)</f>
        <v>4.25371989135159E-4</v>
      </c>
      <c r="W129" s="53"/>
      <c r="X129" s="53">
        <f>AVERAGE($J$129:$L$129)</f>
        <v>4.25371989135159E-4</v>
      </c>
      <c r="Y129" s="53"/>
      <c r="Z129" s="53">
        <f>AVERAGE($J$129:$L$129)</f>
        <v>4.25371989135159E-4</v>
      </c>
      <c r="AA129" s="53"/>
      <c r="AB129" s="53">
        <f>AVERAGE($J$129:$L$129)</f>
        <v>4.25371989135159E-4</v>
      </c>
      <c r="AC129" s="53"/>
      <c r="AD129" s="53">
        <f>AVERAGE($J$129:$L$129)</f>
        <v>4.25371989135159E-4</v>
      </c>
    </row>
    <row r="130" spans="1:30" ht="15" thickBot="1" x14ac:dyDescent="0.35">
      <c r="B130" s="19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2" spans="1:30" x14ac:dyDescent="0.3">
      <c r="A132" s="6">
        <v>7</v>
      </c>
      <c r="B132" s="15" t="s">
        <v>26</v>
      </c>
    </row>
    <row r="133" spans="1:30" x14ac:dyDescent="0.3">
      <c r="B133" s="16" t="s">
        <v>204</v>
      </c>
      <c r="D133" s="18">
        <f>'Financial Statements'!D30/'Financial Statements'!D29</f>
        <v>0.1570174038000958</v>
      </c>
      <c r="F133" s="18">
        <f>'Financial Statements'!F30/'Financial Statements'!F29</f>
        <v>0.1486137858362705</v>
      </c>
      <c r="H133" s="18">
        <f>'Financial Statements'!H30/'Financial Statements'!H29</f>
        <v>0.35546475995914201</v>
      </c>
      <c r="J133" s="18">
        <f>'Financial Statements'!J30/'Financial Statements'!J29</f>
        <v>0.3264169294703646</v>
      </c>
      <c r="L133" s="18">
        <f>'Financial Statements'!L30/'Financial Statements'!L29</f>
        <v>0.36985114038358813</v>
      </c>
      <c r="N133" s="57">
        <v>0.35</v>
      </c>
      <c r="O133" s="38"/>
      <c r="P133" s="57">
        <v>0.35</v>
      </c>
      <c r="Q133" s="38"/>
      <c r="R133" s="57">
        <v>0.35</v>
      </c>
      <c r="S133" s="38"/>
      <c r="T133" s="57">
        <v>0.35</v>
      </c>
      <c r="U133" s="38"/>
      <c r="V133" s="57">
        <v>0.35</v>
      </c>
      <c r="W133" s="38"/>
      <c r="X133" s="57">
        <v>0.35</v>
      </c>
      <c r="Y133" s="38"/>
      <c r="Z133" s="57">
        <v>0.35</v>
      </c>
      <c r="AA133" s="38"/>
      <c r="AB133" s="57">
        <v>0.35</v>
      </c>
      <c r="AC133" s="38"/>
      <c r="AD133" s="57">
        <v>0.35</v>
      </c>
    </row>
    <row r="134" spans="1:30" ht="15" thickBot="1" x14ac:dyDescent="0.35">
      <c r="B134" s="19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</sheetData>
  <sheetProtection algorithmName="SHA-512" hashValue="b4ralK5JkG4heo52E3m3MAuEVa9eknXGCX5xw2BVQ7fotWiecF2UzVWK7/arnmW5X5RPnYzmzwiQ+OtkUnxsBA==" saltValue="MuW1SrlDW6FeMVodprcCwQ==" spinCount="100000" sheet="1" objects="1" scenarios="1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92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81" sqref="D81"/>
    </sheetView>
  </sheetViews>
  <sheetFormatPr defaultRowHeight="14.4" x14ac:dyDescent="0.3"/>
  <cols>
    <col min="1" max="1" width="8.88671875" style="4"/>
    <col min="2" max="2" width="25.6640625" style="16" customWidth="1"/>
    <col min="3" max="3" width="3.6640625" style="4" customWidth="1"/>
    <col min="4" max="4" width="10" style="4" bestFit="1" customWidth="1"/>
    <col min="5" max="5" width="3.6640625" style="4" customWidth="1"/>
    <col min="6" max="6" width="8.88671875" style="4"/>
    <col min="7" max="7" width="3.6640625" style="4" customWidth="1"/>
    <col min="8" max="8" width="8.88671875" style="4"/>
    <col min="9" max="9" width="3.6640625" style="4" customWidth="1"/>
    <col min="10" max="10" width="8.88671875" style="4"/>
    <col min="11" max="11" width="3.6640625" style="4" customWidth="1"/>
    <col min="12" max="12" width="10" style="4" bestFit="1" customWidth="1"/>
    <col min="13" max="13" width="3.6640625" style="4" customWidth="1"/>
    <col min="14" max="14" width="12.21875" style="4" bestFit="1" customWidth="1"/>
    <col min="15" max="15" width="3.6640625" style="4" customWidth="1"/>
    <col min="16" max="16" width="12.21875" style="4" bestFit="1" customWidth="1"/>
    <col min="17" max="17" width="3.6640625" style="4" customWidth="1"/>
    <col min="18" max="18" width="12.21875" style="4" bestFit="1" customWidth="1"/>
    <col min="19" max="19" width="3.6640625" style="4" customWidth="1"/>
    <col min="20" max="20" width="12.21875" style="4" bestFit="1" customWidth="1"/>
    <col min="21" max="21" width="3.6640625" style="4" customWidth="1"/>
    <col min="22" max="22" width="10" style="4" bestFit="1" customWidth="1"/>
    <col min="23" max="23" width="3.6640625" style="4" customWidth="1"/>
    <col min="24" max="24" width="10" style="4" bestFit="1" customWidth="1"/>
    <col min="25" max="25" width="3.6640625" style="4" customWidth="1"/>
    <col min="26" max="26" width="10" style="4" bestFit="1" customWidth="1"/>
    <col min="27" max="27" width="3.6640625" style="4" customWidth="1"/>
    <col min="28" max="28" width="8.88671875" style="4"/>
    <col min="29" max="29" width="3.6640625" style="4" customWidth="1"/>
    <col min="30" max="16384" width="8.88671875" style="4"/>
  </cols>
  <sheetData>
    <row r="1" spans="1:30" ht="25.8" x14ac:dyDescent="0.5">
      <c r="B1" s="9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3" spans="1:30" x14ac:dyDescent="0.3">
      <c r="B3" s="10"/>
      <c r="C3" s="1"/>
      <c r="D3" s="1">
        <v>2012</v>
      </c>
      <c r="E3" s="1"/>
      <c r="F3" s="1">
        <v>2013</v>
      </c>
      <c r="G3" s="1"/>
      <c r="H3" s="1">
        <v>2014</v>
      </c>
      <c r="I3" s="1"/>
      <c r="J3" s="1">
        <v>2015</v>
      </c>
      <c r="K3" s="1"/>
      <c r="L3" s="1">
        <v>2016</v>
      </c>
      <c r="M3" s="1"/>
      <c r="N3" s="1" t="s">
        <v>0</v>
      </c>
      <c r="O3" s="1"/>
      <c r="P3" s="1" t="s">
        <v>6</v>
      </c>
      <c r="Q3" s="1"/>
      <c r="R3" s="1" t="s">
        <v>7</v>
      </c>
      <c r="S3" s="1"/>
      <c r="T3" s="1" t="s">
        <v>8</v>
      </c>
      <c r="U3" s="1"/>
      <c r="V3" s="1" t="s">
        <v>9</v>
      </c>
      <c r="W3" s="1"/>
      <c r="X3" s="1" t="s">
        <v>10</v>
      </c>
      <c r="Y3" s="1"/>
      <c r="Z3" s="1" t="s">
        <v>11</v>
      </c>
      <c r="AA3" s="1"/>
      <c r="AB3" s="1" t="s">
        <v>12</v>
      </c>
      <c r="AC3" s="1"/>
      <c r="AD3" s="1" t="s">
        <v>13</v>
      </c>
    </row>
    <row r="5" spans="1:30" x14ac:dyDescent="0.3">
      <c r="B5" s="15" t="s">
        <v>277</v>
      </c>
    </row>
    <row r="6" spans="1:30" x14ac:dyDescent="0.3">
      <c r="B6" s="15" t="s">
        <v>278</v>
      </c>
    </row>
    <row r="7" spans="1:30" ht="28.8" x14ac:dyDescent="0.3">
      <c r="B7" s="15" t="s">
        <v>279</v>
      </c>
    </row>
    <row r="9" spans="1:30" x14ac:dyDescent="0.3">
      <c r="A9" s="6">
        <v>1</v>
      </c>
      <c r="B9" s="15" t="s">
        <v>207</v>
      </c>
    </row>
    <row r="10" spans="1:30" x14ac:dyDescent="0.3">
      <c r="B10" s="16" t="s">
        <v>208</v>
      </c>
      <c r="D10" s="34">
        <f>'Financial Statements'!D10/'Financial Statements'!D131</f>
        <v>2.8941411659360909</v>
      </c>
      <c r="F10" s="34">
        <f>'Financial Statements'!F10/'Financial Statements'!F131</f>
        <v>5.1619159225576441</v>
      </c>
      <c r="H10" s="34">
        <f>'Financial Statements'!H10/'Financial Statements'!H131</f>
        <v>6.8746983037019413</v>
      </c>
      <c r="J10" s="34">
        <f>'Financial Statements'!J10/'Financial Statements'!J131</f>
        <v>4.2959194423471985</v>
      </c>
      <c r="L10" s="34">
        <f>'Financial Statements'!L10/'Financial Statements'!L131</f>
        <v>3.5296725833706435</v>
      </c>
      <c r="N10" s="34">
        <f>365/N14</f>
        <v>4.1638750292504074</v>
      </c>
      <c r="P10" s="34">
        <f>365/P14</f>
        <v>4.1638750292504074</v>
      </c>
      <c r="R10" s="34">
        <f>365/R14</f>
        <v>4.1638750292504074</v>
      </c>
      <c r="T10" s="34">
        <f>365/T14</f>
        <v>4.1638750292504074</v>
      </c>
      <c r="V10" s="34">
        <f>365/V14</f>
        <v>4.1638750292504074</v>
      </c>
      <c r="X10" s="34">
        <f>365/X14</f>
        <v>4.1638750292504074</v>
      </c>
      <c r="Z10" s="34">
        <f>365/Z14</f>
        <v>4.1638750292504074</v>
      </c>
      <c r="AB10" s="34">
        <f>365/AB14</f>
        <v>4.1638750292504074</v>
      </c>
      <c r="AD10" s="34">
        <f>365/AD14</f>
        <v>4.1638750292504074</v>
      </c>
    </row>
    <row r="11" spans="1:30" x14ac:dyDescent="0.3">
      <c r="B11" s="16" t="s">
        <v>210</v>
      </c>
      <c r="D11" s="34">
        <f>'Financial Statements'!D13/'Financial Statements'!D132</f>
        <v>3.0391794736494955</v>
      </c>
      <c r="F11" s="34">
        <f>'Financial Statements'!F13/'Financial Statements'!F132</f>
        <v>4.2427781192378609</v>
      </c>
      <c r="H11" s="34">
        <f>'Financial Statements'!H13/'Financial Statements'!H132</f>
        <v>1.5525626579772818</v>
      </c>
      <c r="J11" s="34">
        <f>'Financial Statements'!J13/'Financial Statements'!J132</f>
        <v>1.7653357859641632</v>
      </c>
      <c r="L11" s="34">
        <f>'Financial Statements'!L13/'Financial Statements'!L132</f>
        <v>1.7740601605362016</v>
      </c>
      <c r="N11" s="34">
        <f t="shared" ref="N11:P11" si="0">365/N15</f>
        <v>1.7740601605362016</v>
      </c>
      <c r="P11" s="34">
        <f t="shared" si="0"/>
        <v>1.7740601605362016</v>
      </c>
      <c r="R11" s="34">
        <f t="shared" ref="R11" si="1">365/R15</f>
        <v>1.7740601605362016</v>
      </c>
      <c r="T11" s="34">
        <f t="shared" ref="T11" si="2">365/T15</f>
        <v>1.7740601605362016</v>
      </c>
      <c r="V11" s="34">
        <f t="shared" ref="V11" si="3">365/V15</f>
        <v>1.7740601605362016</v>
      </c>
      <c r="X11" s="34">
        <f t="shared" ref="X11" si="4">365/X15</f>
        <v>1.7740601605362016</v>
      </c>
      <c r="Z11" s="34">
        <f t="shared" ref="Z11" si="5">365/Z15</f>
        <v>1.7740601605362016</v>
      </c>
      <c r="AB11" s="34">
        <f t="shared" ref="AB11" si="6">365/AB15</f>
        <v>1.7740601605362016</v>
      </c>
      <c r="AD11" s="34">
        <f t="shared" ref="AD11" si="7">365/AD15</f>
        <v>1.7740601605362016</v>
      </c>
    </row>
    <row r="12" spans="1:30" x14ac:dyDescent="0.3">
      <c r="B12" s="16" t="s">
        <v>209</v>
      </c>
      <c r="D12" s="34">
        <f>'Financial Statements'!D13/'Financial Statements'!D150</f>
        <v>1.4722497363964597</v>
      </c>
      <c r="F12" s="34">
        <f>'Financial Statements'!F13/'Financial Statements'!F150</f>
        <v>2.257439773264053</v>
      </c>
      <c r="H12" s="34">
        <f>'Financial Statements'!H13/'Financial Statements'!H150</f>
        <v>2.4911556315660883</v>
      </c>
      <c r="J12" s="34">
        <f>'Financial Statements'!J13/'Financial Statements'!J150</f>
        <v>2.8308138003687122</v>
      </c>
      <c r="L12" s="34">
        <f>'Financial Statements'!L13/'Financial Statements'!L150</f>
        <v>3.7889693786256458</v>
      </c>
      <c r="N12" s="34">
        <f>365/N16</f>
        <v>2.9452205392841431</v>
      </c>
      <c r="P12" s="34">
        <f>365/P16</f>
        <v>2.9452205392841431</v>
      </c>
      <c r="R12" s="34">
        <f>365/R16</f>
        <v>2.9452205392841431</v>
      </c>
      <c r="T12" s="34">
        <f>365/T16</f>
        <v>2.9452205392841431</v>
      </c>
      <c r="V12" s="34">
        <f>365/V16</f>
        <v>2.9452205392841431</v>
      </c>
      <c r="X12" s="34">
        <f>365/X16</f>
        <v>2.9452205392841431</v>
      </c>
      <c r="Z12" s="34">
        <f>365/Z16</f>
        <v>2.9452205392841431</v>
      </c>
      <c r="AB12" s="34">
        <f>365/AB16</f>
        <v>2.9452205392841431</v>
      </c>
      <c r="AD12" s="34">
        <f>365/AD16</f>
        <v>2.9452205392841431</v>
      </c>
    </row>
    <row r="14" spans="1:30" x14ac:dyDescent="0.3">
      <c r="B14" s="16" t="s">
        <v>211</v>
      </c>
      <c r="D14" s="17">
        <f>365/D10</f>
        <v>126.11686129758745</v>
      </c>
      <c r="F14" s="17">
        <f>365/F10</f>
        <v>70.71017921949192</v>
      </c>
      <c r="H14" s="17">
        <f>365/H10</f>
        <v>53.093238986713345</v>
      </c>
      <c r="J14" s="17">
        <f>365/J10</f>
        <v>84.964349285044278</v>
      </c>
      <c r="L14" s="17">
        <f>365/L10</f>
        <v>103.40902488225835</v>
      </c>
      <c r="N14" s="43">
        <f>AVERAGE($D$14:$L$14)</f>
        <v>87.658730734219063</v>
      </c>
      <c r="O14" s="38"/>
      <c r="P14" s="43">
        <f>AVERAGE($D$14:$L$14)</f>
        <v>87.658730734219063</v>
      </c>
      <c r="Q14" s="38"/>
      <c r="R14" s="43">
        <f>AVERAGE($D$14:$L$14)</f>
        <v>87.658730734219063</v>
      </c>
      <c r="S14" s="38"/>
      <c r="T14" s="43">
        <f>AVERAGE($D$14:$L$14)</f>
        <v>87.658730734219063</v>
      </c>
      <c r="U14" s="38"/>
      <c r="V14" s="43">
        <f>AVERAGE($D$14:$L$14)</f>
        <v>87.658730734219063</v>
      </c>
      <c r="W14" s="38"/>
      <c r="X14" s="43">
        <f>AVERAGE($D$14:$L$14)</f>
        <v>87.658730734219063</v>
      </c>
      <c r="Y14" s="38"/>
      <c r="Z14" s="43">
        <f>AVERAGE($D$14:$L$14)</f>
        <v>87.658730734219063</v>
      </c>
      <c r="AA14" s="38"/>
      <c r="AB14" s="43">
        <f>AVERAGE($D$14:$L$14)</f>
        <v>87.658730734219063</v>
      </c>
      <c r="AC14" s="38"/>
      <c r="AD14" s="43">
        <f>AVERAGE($D$14:$L$14)</f>
        <v>87.658730734219063</v>
      </c>
    </row>
    <row r="15" spans="1:30" x14ac:dyDescent="0.3">
      <c r="B15" s="16" t="s">
        <v>212</v>
      </c>
      <c r="D15" s="17">
        <f t="shared" ref="D15:F16" si="8">365/D11</f>
        <v>120.09820517828851</v>
      </c>
      <c r="F15" s="17">
        <f t="shared" si="8"/>
        <v>86.028538316673917</v>
      </c>
      <c r="H15" s="17">
        <f t="shared" ref="H15" si="9">365/H11</f>
        <v>235.09518158547706</v>
      </c>
      <c r="J15" s="17">
        <f t="shared" ref="J15" si="10">365/J11</f>
        <v>206.75953147386636</v>
      </c>
      <c r="L15" s="17">
        <f t="shared" ref="L15" si="11">365/L11</f>
        <v>205.74274092806436</v>
      </c>
      <c r="N15" s="43">
        <f>L15</f>
        <v>205.74274092806436</v>
      </c>
      <c r="O15" s="38"/>
      <c r="P15" s="43">
        <f>N15</f>
        <v>205.74274092806436</v>
      </c>
      <c r="Q15" s="38"/>
      <c r="R15" s="43">
        <f>P15</f>
        <v>205.74274092806436</v>
      </c>
      <c r="S15" s="38"/>
      <c r="T15" s="43">
        <f>R15</f>
        <v>205.74274092806436</v>
      </c>
      <c r="U15" s="38"/>
      <c r="V15" s="43">
        <f>T15</f>
        <v>205.74274092806436</v>
      </c>
      <c r="W15" s="38"/>
      <c r="X15" s="43">
        <f>V15</f>
        <v>205.74274092806436</v>
      </c>
      <c r="Y15" s="38"/>
      <c r="Z15" s="43">
        <f>X15</f>
        <v>205.74274092806436</v>
      </c>
      <c r="AA15" s="38"/>
      <c r="AB15" s="43">
        <f>Z15</f>
        <v>205.74274092806436</v>
      </c>
      <c r="AC15" s="38"/>
      <c r="AD15" s="43">
        <f>AB15</f>
        <v>205.74274092806436</v>
      </c>
    </row>
    <row r="16" spans="1:30" x14ac:dyDescent="0.3">
      <c r="B16" s="16" t="s">
        <v>213</v>
      </c>
      <c r="D16" s="17">
        <f t="shared" si="8"/>
        <v>247.91989495843913</v>
      </c>
      <c r="F16" s="17">
        <f t="shared" si="8"/>
        <v>161.68759154634861</v>
      </c>
      <c r="H16" s="17">
        <f t="shared" ref="H16" si="12">365/H12</f>
        <v>146.51834488981297</v>
      </c>
      <c r="J16" s="17">
        <f t="shared" ref="J16" si="13">365/J12</f>
        <v>128.93818729881102</v>
      </c>
      <c r="L16" s="17">
        <f t="shared" ref="L16" si="14">365/L12</f>
        <v>96.332264403887748</v>
      </c>
      <c r="N16" s="43">
        <f>AVERAGE($H$16:$L$16)</f>
        <v>123.92959886417059</v>
      </c>
      <c r="O16" s="38"/>
      <c r="P16" s="43">
        <f>AVERAGE($H$16:$L$16)</f>
        <v>123.92959886417059</v>
      </c>
      <c r="Q16" s="38"/>
      <c r="R16" s="43">
        <f>AVERAGE($H$16:$L$16)</f>
        <v>123.92959886417059</v>
      </c>
      <c r="S16" s="38"/>
      <c r="T16" s="43">
        <f>AVERAGE($H$16:$L$16)</f>
        <v>123.92959886417059</v>
      </c>
      <c r="U16" s="38"/>
      <c r="V16" s="43">
        <f>AVERAGE($H$16:$L$16)</f>
        <v>123.92959886417059</v>
      </c>
      <c r="W16" s="38"/>
      <c r="X16" s="43">
        <f>AVERAGE($H$16:$L$16)</f>
        <v>123.92959886417059</v>
      </c>
      <c r="Y16" s="38"/>
      <c r="Z16" s="43">
        <f>AVERAGE($H$16:$L$16)</f>
        <v>123.92959886417059</v>
      </c>
      <c r="AA16" s="38"/>
      <c r="AB16" s="43">
        <f>AVERAGE($H$16:$L$16)</f>
        <v>123.92959886417059</v>
      </c>
      <c r="AC16" s="38"/>
      <c r="AD16" s="43">
        <f>AVERAGE($H$16:$L$16)</f>
        <v>123.92959886417059</v>
      </c>
    </row>
    <row r="17" spans="2:30" x14ac:dyDescent="0.3">
      <c r="D17" s="17"/>
      <c r="F17" s="17"/>
      <c r="H17" s="17"/>
      <c r="J17" s="17"/>
      <c r="L17" s="17"/>
    </row>
    <row r="18" spans="2:30" x14ac:dyDescent="0.3">
      <c r="B18" s="15" t="s">
        <v>191</v>
      </c>
    </row>
    <row r="19" spans="2:30" x14ac:dyDescent="0.3">
      <c r="B19" s="16" t="s">
        <v>148</v>
      </c>
      <c r="D19" s="18">
        <f>'Financial Statements'!D133/'Financial Statements'!D$10</f>
        <v>4.5473841748152628E-3</v>
      </c>
      <c r="F19" s="18">
        <f>'Financial Statements'!F133/'Financial Statements'!F$10</f>
        <v>0</v>
      </c>
      <c r="H19" s="18">
        <f>'Financial Statements'!H133/'Financial Statements'!H$10</f>
        <v>4.2277966503983027E-3</v>
      </c>
      <c r="J19" s="18">
        <f>'Financial Statements'!J133/'Financial Statements'!J$10</f>
        <v>0</v>
      </c>
      <c r="L19" s="18">
        <f>'Financial Statements'!L133/'Financial Statements'!L$10</f>
        <v>0</v>
      </c>
      <c r="N19" s="56">
        <f>L19</f>
        <v>0</v>
      </c>
      <c r="O19" s="38"/>
      <c r="P19" s="56">
        <f>N19</f>
        <v>0</v>
      </c>
      <c r="Q19" s="38"/>
      <c r="R19" s="56">
        <f>P19</f>
        <v>0</v>
      </c>
      <c r="S19" s="38"/>
      <c r="T19" s="56">
        <f>R19</f>
        <v>0</v>
      </c>
      <c r="U19" s="38"/>
      <c r="V19" s="56">
        <f>T19</f>
        <v>0</v>
      </c>
      <c r="W19" s="38"/>
      <c r="X19" s="56">
        <f>V19</f>
        <v>0</v>
      </c>
      <c r="Y19" s="38"/>
      <c r="Z19" s="56">
        <f>X19</f>
        <v>0</v>
      </c>
      <c r="AA19" s="38"/>
      <c r="AB19" s="56">
        <f>Z19</f>
        <v>0</v>
      </c>
      <c r="AC19" s="38"/>
      <c r="AD19" s="56">
        <f>AB19</f>
        <v>0</v>
      </c>
    </row>
    <row r="20" spans="2:30" x14ac:dyDescent="0.3">
      <c r="B20" s="16" t="s">
        <v>91</v>
      </c>
      <c r="D20" s="18">
        <f>'Financial Statements'!D134/'Financial Statements'!D$10</f>
        <v>0</v>
      </c>
      <c r="F20" s="18">
        <f>'Financial Statements'!F134/'Financial Statements'!F$10</f>
        <v>1.8069033877440088E-2</v>
      </c>
      <c r="H20" s="18">
        <f>'Financial Statements'!H134/'Financial Statements'!H$10</f>
        <v>3.3550409675967819E-3</v>
      </c>
      <c r="J20" s="18">
        <f>'Financial Statements'!J134/'Financial Statements'!J$10</f>
        <v>1.343262535993019E-2</v>
      </c>
      <c r="L20" s="18">
        <f>'Financial Statements'!L134/'Financial Statements'!L$10</f>
        <v>2.0450834932546617E-2</v>
      </c>
      <c r="N20" s="56">
        <f>AVERAGE($F$20:$L$20)</f>
        <v>1.382688378437842E-2</v>
      </c>
      <c r="O20" s="38"/>
      <c r="P20" s="56">
        <f>AVERAGE($F$20:$L$20)</f>
        <v>1.382688378437842E-2</v>
      </c>
      <c r="Q20" s="38"/>
      <c r="R20" s="56">
        <f>AVERAGE($F$20:$L$20)</f>
        <v>1.382688378437842E-2</v>
      </c>
      <c r="S20" s="38"/>
      <c r="T20" s="56">
        <f>AVERAGE($F$20:$L$20)</f>
        <v>1.382688378437842E-2</v>
      </c>
      <c r="U20" s="38"/>
      <c r="V20" s="56">
        <f>AVERAGE($F$20:$L$20)</f>
        <v>1.382688378437842E-2</v>
      </c>
      <c r="W20" s="38"/>
      <c r="X20" s="56">
        <f>AVERAGE($F$20:$L$20)</f>
        <v>1.382688378437842E-2</v>
      </c>
      <c r="Y20" s="38"/>
      <c r="Z20" s="56">
        <f>AVERAGE($F$20:$L$20)</f>
        <v>1.382688378437842E-2</v>
      </c>
      <c r="AA20" s="38"/>
      <c r="AB20" s="56">
        <f>AVERAGE($F$20:$L$20)</f>
        <v>1.382688378437842E-2</v>
      </c>
      <c r="AC20" s="38"/>
      <c r="AD20" s="56">
        <f>AVERAGE($F$20:$L$20)</f>
        <v>1.382688378437842E-2</v>
      </c>
    </row>
    <row r="21" spans="2:30" ht="28.8" x14ac:dyDescent="0.3">
      <c r="B21" s="16" t="s">
        <v>337</v>
      </c>
      <c r="D21" s="18">
        <f>'Financial Statements'!D135/'Financial Statements'!D$10</f>
        <v>3.3144818356465995E-2</v>
      </c>
      <c r="F21" s="18">
        <f>'Financial Statements'!F135/'Financial Statements'!F$10</f>
        <v>4.1234871860461396E-2</v>
      </c>
      <c r="H21" s="18">
        <f>'Financial Statements'!H135/'Financial Statements'!H$10</f>
        <v>5.95872088135962E-2</v>
      </c>
      <c r="J21" s="18">
        <f>'Financial Statements'!J135/'Financial Statements'!J$10</f>
        <v>3.772088831486254E-2</v>
      </c>
      <c r="L21" s="18">
        <f>'Financial Statements'!L135/'Financial Statements'!L$10</f>
        <v>3.3202941188505308E-2</v>
      </c>
      <c r="N21" s="56">
        <f>AVERAGE($D$21:$L$21)</f>
        <v>4.0978145706778282E-2</v>
      </c>
      <c r="O21" s="38"/>
      <c r="P21" s="56">
        <f>AVERAGE($D$21:$L$21)</f>
        <v>4.0978145706778282E-2</v>
      </c>
      <c r="Q21" s="38"/>
      <c r="R21" s="56">
        <f>AVERAGE($D$21:$L$21)</f>
        <v>4.0978145706778282E-2</v>
      </c>
      <c r="S21" s="38"/>
      <c r="T21" s="56">
        <f>AVERAGE($D$21:$L$21)</f>
        <v>4.0978145706778282E-2</v>
      </c>
      <c r="U21" s="38"/>
      <c r="V21" s="56">
        <f>AVERAGE($D$21:$L$21)</f>
        <v>4.0978145706778282E-2</v>
      </c>
      <c r="W21" s="38"/>
      <c r="X21" s="56">
        <f>AVERAGE($D$21:$L$21)</f>
        <v>4.0978145706778282E-2</v>
      </c>
      <c r="Y21" s="38"/>
      <c r="Z21" s="56">
        <f>AVERAGE($D$21:$L$21)</f>
        <v>4.0978145706778282E-2</v>
      </c>
      <c r="AA21" s="38"/>
      <c r="AB21" s="56">
        <f>AVERAGE($D$21:$L$21)</f>
        <v>4.0978145706778282E-2</v>
      </c>
      <c r="AC21" s="38"/>
      <c r="AD21" s="56">
        <f>AVERAGE($D$21:$L$21)</f>
        <v>4.0978145706778282E-2</v>
      </c>
    </row>
    <row r="22" spans="2:30" ht="28.8" x14ac:dyDescent="0.3">
      <c r="B22" s="16" t="s">
        <v>93</v>
      </c>
      <c r="D22" s="18">
        <f>'Financial Statements'!D136/'Financial Statements'!D$10</f>
        <v>0</v>
      </c>
      <c r="F22" s="18">
        <f>'Financial Statements'!F136/'Financial Statements'!F$10</f>
        <v>0</v>
      </c>
      <c r="H22" s="18">
        <f>'Financial Statements'!H136/'Financial Statements'!H$10</f>
        <v>0</v>
      </c>
      <c r="J22" s="18">
        <f>'Financial Statements'!J136/'Financial Statements'!J$10</f>
        <v>5.9840884799859398E-2</v>
      </c>
      <c r="L22" s="18">
        <f>'Financial Statements'!L136/'Financial Statements'!L$10</f>
        <v>0</v>
      </c>
      <c r="N22" s="38">
        <v>0</v>
      </c>
      <c r="O22" s="38"/>
      <c r="P22" s="38">
        <v>0</v>
      </c>
      <c r="Q22" s="38"/>
      <c r="R22" s="38">
        <v>0</v>
      </c>
      <c r="S22" s="38"/>
      <c r="T22" s="38">
        <v>0</v>
      </c>
      <c r="U22" s="38"/>
      <c r="V22" s="38">
        <v>0</v>
      </c>
      <c r="W22" s="38"/>
      <c r="X22" s="38">
        <v>0</v>
      </c>
      <c r="Y22" s="38"/>
      <c r="Z22" s="38">
        <v>0</v>
      </c>
      <c r="AA22" s="38"/>
      <c r="AB22" s="38">
        <v>0</v>
      </c>
      <c r="AC22" s="38"/>
      <c r="AD22" s="38">
        <v>0</v>
      </c>
    </row>
    <row r="23" spans="2:30" ht="28.8" x14ac:dyDescent="0.3">
      <c r="B23" s="16" t="s">
        <v>96</v>
      </c>
      <c r="D23" s="18">
        <f>'Financial Statements'!D140/'Financial Statements'!D10</f>
        <v>0.1503802678063908</v>
      </c>
      <c r="F23" s="18">
        <f>'Financial Statements'!F140/'Financial Statements'!F10</f>
        <v>0.13365521431197941</v>
      </c>
      <c r="H23" s="18">
        <f>'Financial Statements'!H140/'Financial Statements'!H10</f>
        <v>0.19235238561461285</v>
      </c>
      <c r="J23" s="18">
        <f>'Financial Statements'!J140/'Financial Statements'!J10</f>
        <v>1.4325681389488914E-3</v>
      </c>
      <c r="L23" s="18">
        <f>'Financial Statements'!L140/'Financial Statements'!L10</f>
        <v>0</v>
      </c>
      <c r="N23" s="53">
        <v>0</v>
      </c>
      <c r="O23" s="38"/>
      <c r="P23" s="53">
        <v>0</v>
      </c>
      <c r="Q23" s="38"/>
      <c r="R23" s="53">
        <v>0</v>
      </c>
      <c r="S23" s="38"/>
      <c r="T23" s="53">
        <v>0</v>
      </c>
      <c r="U23" s="38"/>
      <c r="V23" s="53">
        <v>0</v>
      </c>
      <c r="W23" s="38"/>
      <c r="X23" s="53">
        <v>0</v>
      </c>
      <c r="Y23" s="38"/>
      <c r="Z23" s="53">
        <v>0</v>
      </c>
      <c r="AA23" s="38"/>
      <c r="AB23" s="53">
        <v>0</v>
      </c>
      <c r="AC23" s="38"/>
      <c r="AD23" s="53">
        <v>0</v>
      </c>
    </row>
    <row r="24" spans="2:30" x14ac:dyDescent="0.3">
      <c r="B24" s="16" t="s">
        <v>99</v>
      </c>
      <c r="D24" s="18">
        <f>'Financial Statements'!D143/'Financial Statements'!D$10</f>
        <v>3.9886747109317104E-2</v>
      </c>
      <c r="F24" s="18">
        <f>'Financial Statements'!F143/'Financial Statements'!F$10</f>
        <v>0</v>
      </c>
      <c r="H24" s="18">
        <f>'Financial Statements'!H143/'Financial Statements'!H$10</f>
        <v>3.1557658740166049E-2</v>
      </c>
      <c r="J24" s="18">
        <f>'Financial Statements'!J143/'Financial Statements'!J$10</f>
        <v>2.3064142676429655E-2</v>
      </c>
      <c r="L24" s="18">
        <f>'Financial Statements'!L143/'Financial Statements'!L$10</f>
        <v>1.2471817701961202E-2</v>
      </c>
      <c r="N24" s="56">
        <f>AVERAGE($H$24:$L$24)</f>
        <v>2.2364539706185637E-2</v>
      </c>
      <c r="O24" s="38"/>
      <c r="P24" s="56">
        <f>AVERAGE($H$24:$L$24)</f>
        <v>2.2364539706185637E-2</v>
      </c>
      <c r="Q24" s="38"/>
      <c r="R24" s="56">
        <f>AVERAGE($H$24:$L$24)</f>
        <v>2.2364539706185637E-2</v>
      </c>
      <c r="S24" s="38"/>
      <c r="T24" s="56">
        <f>AVERAGE($H$24:$L$24)</f>
        <v>2.2364539706185637E-2</v>
      </c>
      <c r="U24" s="38"/>
      <c r="V24" s="56">
        <f>AVERAGE($H$24:$L$24)</f>
        <v>2.2364539706185637E-2</v>
      </c>
      <c r="W24" s="38"/>
      <c r="X24" s="56">
        <f>AVERAGE($H$24:$L$24)</f>
        <v>2.2364539706185637E-2</v>
      </c>
      <c r="Y24" s="38"/>
      <c r="Z24" s="56">
        <f>AVERAGE($H$24:$L$24)</f>
        <v>2.2364539706185637E-2</v>
      </c>
      <c r="AA24" s="38"/>
      <c r="AB24" s="56">
        <f>AVERAGE($H$24:$L$24)</f>
        <v>2.2364539706185637E-2</v>
      </c>
      <c r="AC24" s="38"/>
      <c r="AD24" s="56">
        <f>AVERAGE($H$24:$L$24)</f>
        <v>2.2364539706185637E-2</v>
      </c>
    </row>
    <row r="25" spans="2:30" x14ac:dyDescent="0.3">
      <c r="B25" s="16" t="s">
        <v>205</v>
      </c>
      <c r="D25" s="18">
        <f>'Financial Statements'!D144/'Financial Statements'!D$10</f>
        <v>2.6262582655183081E-3</v>
      </c>
      <c r="F25" s="18">
        <f>'Financial Statements'!F144/'Financial Statements'!F$10</f>
        <v>1.0785144446753745E-2</v>
      </c>
      <c r="H25" s="18">
        <f>'Financial Statements'!H144/'Financial Statements'!H$10</f>
        <v>2.0313203087527754E-2</v>
      </c>
      <c r="J25" s="18">
        <f>'Financial Statements'!J144/'Financial Statements'!J$10</f>
        <v>4.4039719535447375E-3</v>
      </c>
      <c r="L25" s="18">
        <f>'Financial Statements'!L144/'Financial Statements'!L$10</f>
        <v>5.0799743034727141E-3</v>
      </c>
      <c r="N25" s="56">
        <f>AVERAGE($D$25:$L$25)</f>
        <v>8.6417104113634506E-3</v>
      </c>
      <c r="O25" s="38"/>
      <c r="P25" s="56">
        <f>AVERAGE($D$25:$L$25)</f>
        <v>8.6417104113634506E-3</v>
      </c>
      <c r="Q25" s="38"/>
      <c r="R25" s="56">
        <f>AVERAGE($D$25:$L$25)</f>
        <v>8.6417104113634506E-3</v>
      </c>
      <c r="S25" s="38"/>
      <c r="T25" s="56">
        <f>AVERAGE($D$25:$L$25)</f>
        <v>8.6417104113634506E-3</v>
      </c>
      <c r="U25" s="38"/>
      <c r="V25" s="56">
        <f>AVERAGE($D$25:$L$25)</f>
        <v>8.6417104113634506E-3</v>
      </c>
      <c r="W25" s="38"/>
      <c r="X25" s="56">
        <f>AVERAGE($D$25:$L$25)</f>
        <v>8.6417104113634506E-3</v>
      </c>
      <c r="Y25" s="38"/>
      <c r="Z25" s="56">
        <f>AVERAGE($D$25:$L$25)</f>
        <v>8.6417104113634506E-3</v>
      </c>
      <c r="AA25" s="38"/>
      <c r="AB25" s="56">
        <f>AVERAGE($D$25:$L$25)</f>
        <v>8.6417104113634506E-3</v>
      </c>
      <c r="AC25" s="38"/>
      <c r="AD25" s="56">
        <f>AVERAGE($D$25:$L$25)</f>
        <v>8.6417104113634506E-3</v>
      </c>
    </row>
    <row r="26" spans="2:30" ht="28.8" x14ac:dyDescent="0.3">
      <c r="B26" s="16" t="s">
        <v>101</v>
      </c>
      <c r="D26" s="18">
        <f>'Financial Statements'!D145/'Financial Statements'!D$10</f>
        <v>0</v>
      </c>
      <c r="F26" s="18">
        <f>'Financial Statements'!F145/'Financial Statements'!F$10</f>
        <v>0</v>
      </c>
      <c r="H26" s="18">
        <f>'Financial Statements'!H145/'Financial Statements'!H$10</f>
        <v>0</v>
      </c>
      <c r="J26" s="18">
        <f>'Financial Statements'!J145/'Financial Statements'!J$10</f>
        <v>0.15606000846053081</v>
      </c>
      <c r="L26" s="18">
        <f>'Financial Statements'!L145/'Financial Statements'!L$10</f>
        <v>0</v>
      </c>
      <c r="N26" s="38">
        <v>0</v>
      </c>
      <c r="O26" s="38"/>
      <c r="P26" s="38">
        <v>0</v>
      </c>
      <c r="Q26" s="38"/>
      <c r="R26" s="38">
        <v>0</v>
      </c>
      <c r="S26" s="38"/>
      <c r="T26" s="38">
        <v>0</v>
      </c>
      <c r="U26" s="38"/>
      <c r="V26" s="38">
        <v>0</v>
      </c>
      <c r="W26" s="38"/>
      <c r="X26" s="38">
        <v>0</v>
      </c>
      <c r="Y26" s="38"/>
      <c r="Z26" s="38">
        <v>0</v>
      </c>
      <c r="AA26" s="38"/>
      <c r="AB26" s="38">
        <v>0</v>
      </c>
      <c r="AC26" s="38"/>
      <c r="AD26" s="38">
        <v>0</v>
      </c>
    </row>
    <row r="27" spans="2:30" x14ac:dyDescent="0.3"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</row>
    <row r="28" spans="2:30" ht="28.8" x14ac:dyDescent="0.3">
      <c r="B28" s="16" t="s">
        <v>105</v>
      </c>
      <c r="D28" s="18">
        <f>'Financial Statements'!D151/'Financial Statements'!D$10</f>
        <v>5.353249724782524E-3</v>
      </c>
      <c r="F28" s="18">
        <f>'Financial Statements'!F151/'Financial Statements'!F$10</f>
        <v>4.0032614430286651E-3</v>
      </c>
      <c r="H28" s="18">
        <f>'Financial Statements'!H151/'Financial Statements'!H$10</f>
        <v>1.5511810634268394E-2</v>
      </c>
      <c r="J28" s="18">
        <f>'Financial Statements'!J151/'Financial Statements'!J$10</f>
        <v>1.2684665390093821E-2</v>
      </c>
      <c r="L28" s="18">
        <f>'Financial Statements'!L151/'Financial Statements'!L$10</f>
        <v>1.3028303006248184E-2</v>
      </c>
      <c r="N28" s="56">
        <f>AVERAGE($H$28:$L$28)</f>
        <v>1.3741593010203466E-2</v>
      </c>
      <c r="O28" s="38"/>
      <c r="P28" s="56">
        <f>AVERAGE($H$28:$L$28)</f>
        <v>1.3741593010203466E-2</v>
      </c>
      <c r="Q28" s="38"/>
      <c r="R28" s="56">
        <f>AVERAGE($H$28:$L$28)</f>
        <v>1.3741593010203466E-2</v>
      </c>
      <c r="S28" s="38"/>
      <c r="T28" s="56">
        <f>AVERAGE($H$28:$L$28)</f>
        <v>1.3741593010203466E-2</v>
      </c>
      <c r="U28" s="38"/>
      <c r="V28" s="56">
        <f>AVERAGE($H$28:$L$28)</f>
        <v>1.3741593010203466E-2</v>
      </c>
      <c r="W28" s="38"/>
      <c r="X28" s="56">
        <f>AVERAGE($H$28:$L$28)</f>
        <v>1.3741593010203466E-2</v>
      </c>
      <c r="Y28" s="38"/>
      <c r="Z28" s="56">
        <f>AVERAGE($H$28:$L$28)</f>
        <v>1.3741593010203466E-2</v>
      </c>
      <c r="AA28" s="38"/>
      <c r="AB28" s="56">
        <f>AVERAGE($H$28:$L$28)</f>
        <v>1.3741593010203466E-2</v>
      </c>
      <c r="AC28" s="38"/>
      <c r="AD28" s="56">
        <f>AVERAGE($H$28:$L$28)</f>
        <v>1.3741593010203466E-2</v>
      </c>
    </row>
    <row r="29" spans="2:30" x14ac:dyDescent="0.3">
      <c r="B29" s="16" t="s">
        <v>61</v>
      </c>
      <c r="D29" s="18">
        <f>'Financial Statements'!D152/'Financial Statements'!D$10</f>
        <v>8.1759377181053527E-2</v>
      </c>
      <c r="F29" s="18">
        <f>'Financial Statements'!F152/'Financial Statements'!F$10</f>
        <v>7.8706294265296003E-2</v>
      </c>
      <c r="H29" s="18">
        <f>'Financial Statements'!H152/'Financial Statements'!H$10</f>
        <v>7.8261213550706366E-2</v>
      </c>
      <c r="J29" s="18">
        <f>'Financial Statements'!J152/'Financial Statements'!J$10</f>
        <v>6.5391319985858246E-2</v>
      </c>
      <c r="L29" s="18">
        <f>'Financial Statements'!L152/'Financial Statements'!L$10</f>
        <v>7.065931233146884E-2</v>
      </c>
      <c r="N29" s="56">
        <f>AVERAGE($D$29:$L$29)</f>
        <v>7.4955503462876591E-2</v>
      </c>
      <c r="O29" s="38"/>
      <c r="P29" s="56">
        <f>AVERAGE($D$29:$L$29)</f>
        <v>7.4955503462876591E-2</v>
      </c>
      <c r="Q29" s="38"/>
      <c r="R29" s="56">
        <f>AVERAGE($D$29:$L$29)</f>
        <v>7.4955503462876591E-2</v>
      </c>
      <c r="S29" s="38"/>
      <c r="T29" s="56">
        <f>AVERAGE($D$29:$L$29)</f>
        <v>7.4955503462876591E-2</v>
      </c>
      <c r="U29" s="38"/>
      <c r="V29" s="56">
        <f>AVERAGE($D$29:$L$29)</f>
        <v>7.4955503462876591E-2</v>
      </c>
      <c r="W29" s="38"/>
      <c r="X29" s="56">
        <f>AVERAGE($D$29:$L$29)</f>
        <v>7.4955503462876591E-2</v>
      </c>
      <c r="Y29" s="38"/>
      <c r="Z29" s="56">
        <f>AVERAGE($D$29:$L$29)</f>
        <v>7.4955503462876591E-2</v>
      </c>
      <c r="AA29" s="38"/>
      <c r="AB29" s="56">
        <f>AVERAGE($D$29:$L$29)</f>
        <v>7.4955503462876591E-2</v>
      </c>
      <c r="AC29" s="38"/>
      <c r="AD29" s="56">
        <f>AVERAGE($D$29:$L$29)</f>
        <v>7.4955503462876591E-2</v>
      </c>
    </row>
    <row r="30" spans="2:30" x14ac:dyDescent="0.3">
      <c r="B30" s="16" t="s">
        <v>106</v>
      </c>
      <c r="D30" s="18">
        <f>'Financial Statements'!D153/'Financial Statements'!D$10</f>
        <v>0</v>
      </c>
      <c r="F30" s="18">
        <f>'Financial Statements'!F153/'Financial Statements'!F$10</f>
        <v>0</v>
      </c>
      <c r="H30" s="18">
        <f>'Financial Statements'!H153/'Financial Statements'!H$10</f>
        <v>0</v>
      </c>
      <c r="J30" s="18">
        <f>'Financial Statements'!J153/'Financial Statements'!J$10</f>
        <v>0</v>
      </c>
      <c r="L30" s="18">
        <f>'Financial Statements'!L153/'Financial Statements'!L$10</f>
        <v>4.0918037079925203E-2</v>
      </c>
      <c r="N30" s="38">
        <v>0</v>
      </c>
      <c r="O30" s="38"/>
      <c r="P30" s="38">
        <v>0</v>
      </c>
      <c r="Q30" s="38"/>
      <c r="R30" s="38">
        <v>0</v>
      </c>
      <c r="S30" s="38"/>
      <c r="T30" s="38">
        <v>0</v>
      </c>
      <c r="U30" s="38"/>
      <c r="V30" s="38">
        <v>0</v>
      </c>
      <c r="W30" s="38"/>
      <c r="X30" s="38">
        <v>0</v>
      </c>
      <c r="Y30" s="38"/>
      <c r="Z30" s="38">
        <v>0</v>
      </c>
      <c r="AA30" s="38"/>
      <c r="AB30" s="38">
        <v>0</v>
      </c>
      <c r="AC30" s="38"/>
      <c r="AD30" s="38">
        <v>0</v>
      </c>
    </row>
    <row r="31" spans="2:30" ht="28.8" x14ac:dyDescent="0.3">
      <c r="B31" s="16" t="s">
        <v>107</v>
      </c>
      <c r="D31" s="18">
        <f>'Financial Statements'!D154/'Financial Statements'!D$10</f>
        <v>0</v>
      </c>
      <c r="F31" s="18">
        <f>'Financial Statements'!F154/'Financial Statements'!F$10</f>
        <v>4.2878383347455598E-3</v>
      </c>
      <c r="H31" s="18">
        <f>'Financial Statements'!H154/'Financial Statements'!H$10</f>
        <v>1.6038430918791691E-2</v>
      </c>
      <c r="J31" s="18">
        <f>'Financial Statements'!J154/'Financial Statements'!J$10</f>
        <v>4.3099660556964511E-3</v>
      </c>
      <c r="L31" s="18">
        <f>'Financial Statements'!L154/'Financial Statements'!L$10</f>
        <v>6.6819154551517853E-3</v>
      </c>
      <c r="N31" s="56">
        <f>AVERAGE($D$31:$L$31)</f>
        <v>6.2636301528770973E-3</v>
      </c>
      <c r="O31" s="38"/>
      <c r="P31" s="56">
        <f>AVERAGE($D$31:$L$31)</f>
        <v>6.2636301528770973E-3</v>
      </c>
      <c r="Q31" s="38"/>
      <c r="R31" s="56">
        <f>AVERAGE($D$31:$L$31)</f>
        <v>6.2636301528770973E-3</v>
      </c>
      <c r="S31" s="38"/>
      <c r="T31" s="56">
        <f>AVERAGE($D$31:$L$31)</f>
        <v>6.2636301528770973E-3</v>
      </c>
      <c r="U31" s="38"/>
      <c r="V31" s="56">
        <f>AVERAGE($D$31:$L$31)</f>
        <v>6.2636301528770973E-3</v>
      </c>
      <c r="W31" s="38"/>
      <c r="X31" s="56">
        <f>AVERAGE($D$31:$L$31)</f>
        <v>6.2636301528770973E-3</v>
      </c>
      <c r="Y31" s="38"/>
      <c r="Z31" s="56">
        <f>AVERAGE($D$31:$L$31)</f>
        <v>6.2636301528770973E-3</v>
      </c>
      <c r="AA31" s="38"/>
      <c r="AB31" s="56">
        <f>AVERAGE($D$31:$L$31)</f>
        <v>6.2636301528770973E-3</v>
      </c>
      <c r="AC31" s="38"/>
      <c r="AD31" s="56">
        <f>AVERAGE($D$31:$L$31)</f>
        <v>6.2636301528770973E-3</v>
      </c>
    </row>
    <row r="32" spans="2:30" x14ac:dyDescent="0.3">
      <c r="B32" s="16" t="s">
        <v>152</v>
      </c>
      <c r="D32" s="18">
        <f>'Financial Statements'!D155/'Financial Statements'!D$10</f>
        <v>4.1372561717069241E-4</v>
      </c>
      <c r="F32" s="18">
        <f>'Financial Statements'!F155/'Financial Statements'!F$10</f>
        <v>0</v>
      </c>
      <c r="H32" s="18">
        <f>'Financial Statements'!H155/'Financial Statements'!H$10</f>
        <v>0</v>
      </c>
      <c r="J32" s="18">
        <f>'Financial Statements'!J155/'Financial Statements'!J$10</f>
        <v>0</v>
      </c>
      <c r="L32" s="18">
        <f>'Financial Statements'!L155/'Financial Statements'!L$10</f>
        <v>0</v>
      </c>
      <c r="N32" s="38">
        <v>0</v>
      </c>
      <c r="O32" s="38"/>
      <c r="P32" s="38">
        <v>0</v>
      </c>
      <c r="Q32" s="38"/>
      <c r="R32" s="38">
        <v>0</v>
      </c>
      <c r="S32" s="38"/>
      <c r="T32" s="38">
        <v>0</v>
      </c>
      <c r="U32" s="38"/>
      <c r="V32" s="38">
        <v>0</v>
      </c>
      <c r="W32" s="38"/>
      <c r="X32" s="38">
        <v>0</v>
      </c>
      <c r="Y32" s="38"/>
      <c r="Z32" s="38">
        <v>0</v>
      </c>
      <c r="AA32" s="38"/>
      <c r="AB32" s="38">
        <v>0</v>
      </c>
      <c r="AC32" s="38"/>
      <c r="AD32" s="38">
        <v>0</v>
      </c>
    </row>
    <row r="33" spans="1:30" x14ac:dyDescent="0.3">
      <c r="B33" s="16" t="s">
        <v>62</v>
      </c>
      <c r="D33" s="18">
        <f>'Financial Statements'!D156/'Financial Statements'!D$10</f>
        <v>0</v>
      </c>
      <c r="F33" s="18">
        <f>'Financial Statements'!F156/'Financial Statements'!F$10</f>
        <v>0</v>
      </c>
      <c r="H33" s="18">
        <f>'Financial Statements'!H156/'Financial Statements'!H$10</f>
        <v>5.5530007466635016E-3</v>
      </c>
      <c r="J33" s="18">
        <f>'Financial Statements'!J156/'Financial Statements'!J$10</f>
        <v>0</v>
      </c>
      <c r="L33" s="18">
        <f>'Financial Statements'!L156/'Financial Statements'!L$10</f>
        <v>0</v>
      </c>
      <c r="N33" s="38">
        <v>0</v>
      </c>
      <c r="O33" s="38"/>
      <c r="P33" s="38">
        <v>0</v>
      </c>
      <c r="Q33" s="38"/>
      <c r="R33" s="38">
        <v>0</v>
      </c>
      <c r="S33" s="38"/>
      <c r="T33" s="38">
        <v>0</v>
      </c>
      <c r="U33" s="38"/>
      <c r="V33" s="38">
        <v>0</v>
      </c>
      <c r="W33" s="38"/>
      <c r="X33" s="38">
        <v>0</v>
      </c>
      <c r="Y33" s="38"/>
      <c r="Z33" s="38">
        <v>0</v>
      </c>
      <c r="AA33" s="38"/>
      <c r="AB33" s="38">
        <v>0</v>
      </c>
      <c r="AC33" s="38"/>
      <c r="AD33" s="38">
        <v>0</v>
      </c>
    </row>
    <row r="34" spans="1:30" x14ac:dyDescent="0.3">
      <c r="B34" s="16" t="s">
        <v>149</v>
      </c>
      <c r="D34" s="18">
        <f>'Financial Statements'!D157/'Financial Statements'!D$10</f>
        <v>0</v>
      </c>
      <c r="F34" s="18">
        <f>'Financial Statements'!F157/'Financial Statements'!F$10</f>
        <v>2.8137939855153558E-4</v>
      </c>
      <c r="H34" s="18">
        <f>'Financial Statements'!H157/'Financial Statements'!H$10</f>
        <v>0</v>
      </c>
      <c r="J34" s="18">
        <f>'Financial Statements'!J157/'Financial Statements'!J$10</f>
        <v>0</v>
      </c>
      <c r="L34" s="18">
        <f>'Financial Statements'!L157/'Financial Statements'!L$10</f>
        <v>0</v>
      </c>
      <c r="N34" s="38">
        <v>0</v>
      </c>
      <c r="O34" s="38"/>
      <c r="P34" s="38">
        <v>0</v>
      </c>
      <c r="Q34" s="38"/>
      <c r="R34" s="38">
        <v>0</v>
      </c>
      <c r="S34" s="38"/>
      <c r="T34" s="38">
        <v>0</v>
      </c>
      <c r="U34" s="38"/>
      <c r="V34" s="38">
        <v>0</v>
      </c>
      <c r="W34" s="38"/>
      <c r="X34" s="38">
        <v>0</v>
      </c>
      <c r="Y34" s="38"/>
      <c r="Z34" s="38">
        <v>0</v>
      </c>
      <c r="AA34" s="38"/>
      <c r="AB34" s="38">
        <v>0</v>
      </c>
      <c r="AC34" s="38"/>
      <c r="AD34" s="38">
        <v>0</v>
      </c>
    </row>
    <row r="35" spans="1:30" ht="28.8" x14ac:dyDescent="0.3">
      <c r="B35" s="16" t="s">
        <v>189</v>
      </c>
      <c r="D35" s="18">
        <f>'Financial Statements'!D158/'Financial Statements'!D$10</f>
        <v>6.5152790669228168E-3</v>
      </c>
      <c r="F35" s="18">
        <f>'Financial Statements'!F158/'Financial Statements'!F$10</f>
        <v>5.8642024652672308E-3</v>
      </c>
      <c r="H35" s="18">
        <f>'Financial Statements'!H158/'Financial Statements'!H$10</f>
        <v>1.3214955027122182E-2</v>
      </c>
      <c r="J35" s="18">
        <f>'Financial Statements'!J158/'Financial Statements'!J$10</f>
        <v>8.1315101638768025E-3</v>
      </c>
      <c r="L35" s="18">
        <f>'Financial Statements'!L158/'Financial Statements'!L$10</f>
        <v>1.4394965444717685E-2</v>
      </c>
      <c r="N35" s="56">
        <f>AVERAGE($D$35:$L$35)</f>
        <v>9.6241824335813429E-3</v>
      </c>
      <c r="O35" s="38"/>
      <c r="P35" s="56">
        <f>AVERAGE($D$35:$L$35)</f>
        <v>9.6241824335813429E-3</v>
      </c>
      <c r="Q35" s="38"/>
      <c r="R35" s="56">
        <f>AVERAGE($D$35:$L$35)</f>
        <v>9.6241824335813429E-3</v>
      </c>
      <c r="S35" s="38"/>
      <c r="T35" s="56">
        <f>AVERAGE($D$35:$L$35)</f>
        <v>9.6241824335813429E-3</v>
      </c>
      <c r="U35" s="38"/>
      <c r="V35" s="56">
        <f>AVERAGE($D$35:$L$35)</f>
        <v>9.6241824335813429E-3</v>
      </c>
      <c r="W35" s="38"/>
      <c r="X35" s="56">
        <f>AVERAGE($D$35:$L$35)</f>
        <v>9.6241824335813429E-3</v>
      </c>
      <c r="Y35" s="38"/>
      <c r="Z35" s="56">
        <f>AVERAGE($D$35:$L$35)</f>
        <v>9.6241824335813429E-3</v>
      </c>
      <c r="AA35" s="38"/>
      <c r="AB35" s="56">
        <f>AVERAGE($D$35:$L$35)</f>
        <v>9.6241824335813429E-3</v>
      </c>
      <c r="AC35" s="38"/>
      <c r="AD35" s="56">
        <f>AVERAGE($D$35:$L$35)</f>
        <v>9.6241824335813429E-3</v>
      </c>
    </row>
    <row r="36" spans="1:30" ht="28.8" x14ac:dyDescent="0.3">
      <c r="B36" s="16" t="s">
        <v>109</v>
      </c>
      <c r="D36" s="18">
        <f>'Financial Statements'!D160/'Financial Statements'!D$10</f>
        <v>0</v>
      </c>
      <c r="F36" s="18">
        <f>'Financial Statements'!F160/'Financial Statements'!F$10</f>
        <v>0</v>
      </c>
      <c r="H36" s="18">
        <f>'Financial Statements'!H160/'Financial Statements'!H$10</f>
        <v>0</v>
      </c>
      <c r="J36" s="18">
        <f>'Financial Statements'!J160/'Financial Statements'!J$10</f>
        <v>3.5452485127653879E-2</v>
      </c>
      <c r="L36" s="18">
        <f>'Financial Statements'!L160/'Financial Statements'!L$10</f>
        <v>0</v>
      </c>
      <c r="N36" s="38">
        <v>0</v>
      </c>
      <c r="O36" s="38"/>
      <c r="P36" s="38">
        <v>0</v>
      </c>
      <c r="Q36" s="38"/>
      <c r="R36" s="38">
        <v>0</v>
      </c>
      <c r="S36" s="38"/>
      <c r="T36" s="38">
        <v>0</v>
      </c>
      <c r="U36" s="38"/>
      <c r="V36" s="38">
        <v>0</v>
      </c>
      <c r="W36" s="38"/>
      <c r="X36" s="38">
        <v>0</v>
      </c>
      <c r="Y36" s="38"/>
      <c r="Z36" s="38">
        <v>0</v>
      </c>
      <c r="AA36" s="38"/>
      <c r="AB36" s="38">
        <v>0</v>
      </c>
      <c r="AC36" s="38"/>
      <c r="AD36" s="38">
        <v>0</v>
      </c>
    </row>
    <row r="37" spans="1:30" x14ac:dyDescent="0.3"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</row>
    <row r="38" spans="1:30" ht="28.8" x14ac:dyDescent="0.3">
      <c r="B38" s="16" t="s">
        <v>111</v>
      </c>
      <c r="D38" s="18">
        <f>'Financial Statements'!D163/'Financial Statements'!D$10</f>
        <v>0</v>
      </c>
      <c r="F38" s="18">
        <f>'Financial Statements'!F163/'Financial Statements'!F$10</f>
        <v>4.8851300580345008E-2</v>
      </c>
      <c r="H38" s="18">
        <f>'Financial Statements'!H163/'Financial Statements'!H$10</f>
        <v>0.10178853105081762</v>
      </c>
      <c r="J38" s="18">
        <f>'Financial Statements'!J163/'Financial Statements'!J$10</f>
        <v>4.7096954821991659E-2</v>
      </c>
      <c r="L38" s="18">
        <f>'Financial Statements'!L163/'Financial Statements'!L$10</f>
        <v>2.0293300489788904E-2</v>
      </c>
      <c r="N38" s="56">
        <f>AVERAGE($J$38:$L$38)</f>
        <v>3.3695127655890278E-2</v>
      </c>
      <c r="O38" s="38"/>
      <c r="P38" s="56">
        <f>AVERAGE($J$38:$L$38)</f>
        <v>3.3695127655890278E-2</v>
      </c>
      <c r="Q38" s="38"/>
      <c r="R38" s="56">
        <f>AVERAGE($J$38:$L$38)</f>
        <v>3.3695127655890278E-2</v>
      </c>
      <c r="S38" s="38"/>
      <c r="T38" s="56">
        <f>AVERAGE($J$38:$L$38)</f>
        <v>3.3695127655890278E-2</v>
      </c>
      <c r="U38" s="38"/>
      <c r="V38" s="56">
        <f>AVERAGE($J$38:$L$38)</f>
        <v>3.3695127655890278E-2</v>
      </c>
      <c r="W38" s="38"/>
      <c r="X38" s="56">
        <f>AVERAGE($J$38:$L$38)</f>
        <v>3.3695127655890278E-2</v>
      </c>
      <c r="Y38" s="38"/>
      <c r="Z38" s="56">
        <f>AVERAGE($J$38:$L$38)</f>
        <v>3.3695127655890278E-2</v>
      </c>
      <c r="AA38" s="38"/>
      <c r="AB38" s="56">
        <f>AVERAGE($J$38:$L$38)</f>
        <v>3.3695127655890278E-2</v>
      </c>
      <c r="AC38" s="38"/>
      <c r="AD38" s="56">
        <f>AVERAGE($J$38:$L$38)</f>
        <v>3.3695127655890278E-2</v>
      </c>
    </row>
    <row r="39" spans="1:30" ht="28.8" x14ac:dyDescent="0.3">
      <c r="B39" s="16" t="s">
        <v>113</v>
      </c>
      <c r="D39" s="18">
        <f>'Financial Statements'!D165/'Financial Statements'!D$10</f>
        <v>0</v>
      </c>
      <c r="F39" s="18">
        <f>'Financial Statements'!F165/'Financial Statements'!F$10</f>
        <v>0</v>
      </c>
      <c r="H39" s="18">
        <f>'Financial Statements'!H165/'Financial Statements'!H$10</f>
        <v>1.4124796645453512E-2</v>
      </c>
      <c r="J39" s="18">
        <f>'Financial Statements'!J165/'Financial Statements'!J$10</f>
        <v>7.0013957832223998E-3</v>
      </c>
      <c r="L39" s="18">
        <f>'Financial Statements'!L165/'Financial Statements'!L$10</f>
        <v>1.7253090334750462E-2</v>
      </c>
      <c r="N39" s="56">
        <f>AVERAGE($H$39:$L$39)</f>
        <v>1.2793094254475459E-2</v>
      </c>
      <c r="O39" s="38"/>
      <c r="P39" s="56">
        <f>AVERAGE($H$39:$L$39)</f>
        <v>1.2793094254475459E-2</v>
      </c>
      <c r="Q39" s="38"/>
      <c r="R39" s="56">
        <f>AVERAGE($H$39:$L$39)</f>
        <v>1.2793094254475459E-2</v>
      </c>
      <c r="S39" s="38"/>
      <c r="T39" s="56">
        <f>AVERAGE($H$39:$L$39)</f>
        <v>1.2793094254475459E-2</v>
      </c>
      <c r="U39" s="38"/>
      <c r="V39" s="56">
        <f>AVERAGE($H$39:$L$39)</f>
        <v>1.2793094254475459E-2</v>
      </c>
      <c r="W39" s="38"/>
      <c r="X39" s="56">
        <f>AVERAGE($H$39:$L$39)</f>
        <v>1.2793094254475459E-2</v>
      </c>
      <c r="Y39" s="38"/>
      <c r="Z39" s="56">
        <f>AVERAGE($H$39:$L$39)</f>
        <v>1.2793094254475459E-2</v>
      </c>
      <c r="AA39" s="38"/>
      <c r="AB39" s="56">
        <f>AVERAGE($H$39:$L$39)</f>
        <v>1.2793094254475459E-2</v>
      </c>
      <c r="AC39" s="38"/>
      <c r="AD39" s="56">
        <f>AVERAGE($H$39:$L$39)</f>
        <v>1.2793094254475459E-2</v>
      </c>
    </row>
    <row r="40" spans="1:30" x14ac:dyDescent="0.3">
      <c r="B40" s="16" t="s">
        <v>150</v>
      </c>
      <c r="D40" s="18">
        <f>'Financial Statements'!D166/'Financial Statements'!D$10</f>
        <v>0</v>
      </c>
      <c r="F40" s="18">
        <f>'Financial Statements'!F166/'Financial Statements'!F$10</f>
        <v>4.5372428016435115E-3</v>
      </c>
      <c r="H40" s="18">
        <f>'Financial Statements'!H166/'Financial Statements'!H$10</f>
        <v>0</v>
      </c>
      <c r="J40" s="18">
        <f>'Financial Statements'!J166/'Financial Statements'!J$10</f>
        <v>0</v>
      </c>
      <c r="L40" s="18">
        <f>'Financial Statements'!L166/'Financial Statements'!L$10</f>
        <v>0</v>
      </c>
      <c r="N40" s="38">
        <v>0</v>
      </c>
      <c r="O40" s="38"/>
      <c r="P40" s="38">
        <v>0</v>
      </c>
      <c r="Q40" s="38"/>
      <c r="R40" s="38">
        <v>0</v>
      </c>
      <c r="S40" s="38"/>
      <c r="T40" s="38">
        <v>0</v>
      </c>
      <c r="U40" s="38"/>
      <c r="V40" s="38">
        <v>0</v>
      </c>
      <c r="W40" s="38"/>
      <c r="X40" s="38">
        <v>0</v>
      </c>
      <c r="Y40" s="38"/>
      <c r="Z40" s="38">
        <v>0</v>
      </c>
      <c r="AA40" s="38"/>
      <c r="AB40" s="38">
        <v>0</v>
      </c>
      <c r="AC40" s="38"/>
      <c r="AD40" s="38">
        <v>0</v>
      </c>
    </row>
    <row r="41" spans="1:30" x14ac:dyDescent="0.3">
      <c r="B41" s="16" t="s">
        <v>114</v>
      </c>
      <c r="D41" s="18">
        <f>'Financial Statements'!D167/'Financial Statements'!D$10</f>
        <v>6.8030881919111247E-3</v>
      </c>
      <c r="F41" s="18">
        <f>'Financial Statements'!F167/'Financial Statements'!F$10</f>
        <v>6.7690930310636459E-3</v>
      </c>
      <c r="H41" s="18">
        <f>'Financial Statements'!H167/'Financial Statements'!H$10</f>
        <v>3.070715461868241E-3</v>
      </c>
      <c r="J41" s="18">
        <f>'Financial Statements'!J167/'Financial Statements'!J$10</f>
        <v>2.5708569455031461E-3</v>
      </c>
      <c r="L41" s="18">
        <f>'Financial Statements'!L167/'Financial Statements'!L$10</f>
        <v>3.281626573810001E-3</v>
      </c>
      <c r="N41" s="56">
        <f>AVERAGE($D$41:$L$41)</f>
        <v>4.4990760408312319E-3</v>
      </c>
      <c r="O41" s="38"/>
      <c r="P41" s="56">
        <f>AVERAGE($D$41:$L$41)</f>
        <v>4.4990760408312319E-3</v>
      </c>
      <c r="Q41" s="38"/>
      <c r="R41" s="56">
        <f>AVERAGE($D$41:$L$41)</f>
        <v>4.4990760408312319E-3</v>
      </c>
      <c r="S41" s="38"/>
      <c r="T41" s="56">
        <f>AVERAGE($D$41:$L$41)</f>
        <v>4.4990760408312319E-3</v>
      </c>
      <c r="U41" s="38"/>
      <c r="V41" s="56">
        <f>AVERAGE($D$41:$L$41)</f>
        <v>4.4990760408312319E-3</v>
      </c>
      <c r="W41" s="38"/>
      <c r="X41" s="56">
        <f>AVERAGE($D$41:$L$41)</f>
        <v>4.4990760408312319E-3</v>
      </c>
      <c r="Y41" s="38"/>
      <c r="Z41" s="56">
        <f>AVERAGE($D$41:$L$41)</f>
        <v>4.4990760408312319E-3</v>
      </c>
      <c r="AA41" s="38"/>
      <c r="AB41" s="56">
        <f>AVERAGE($D$41:$L$41)</f>
        <v>4.4990760408312319E-3</v>
      </c>
      <c r="AC41" s="38"/>
      <c r="AD41" s="56">
        <f>AVERAGE($D$41:$L$41)</f>
        <v>4.4990760408312319E-3</v>
      </c>
    </row>
    <row r="42" spans="1:30" ht="28.8" x14ac:dyDescent="0.3">
      <c r="B42" s="16" t="s">
        <v>115</v>
      </c>
      <c r="D42" s="18">
        <f>'Financial Statements'!D168/'Financial Statements'!D$10</f>
        <v>0</v>
      </c>
      <c r="F42" s="18">
        <f>'Financial Statements'!F168/'Financial Statements'!F$10</f>
        <v>0</v>
      </c>
      <c r="H42" s="18">
        <f>'Financial Statements'!H168/'Financial Statements'!H$10</f>
        <v>0</v>
      </c>
      <c r="J42" s="18">
        <f>'Financial Statements'!J168/'Financial Statements'!J$10</f>
        <v>6.6090233400295509E-3</v>
      </c>
      <c r="L42" s="18">
        <f>'Financial Statements'!L168/'Financial Statements'!L$10</f>
        <v>0</v>
      </c>
      <c r="N42" s="38">
        <v>0</v>
      </c>
      <c r="O42" s="38"/>
      <c r="P42" s="38">
        <v>0</v>
      </c>
      <c r="Q42" s="38"/>
      <c r="R42" s="38">
        <v>0</v>
      </c>
      <c r="S42" s="38"/>
      <c r="T42" s="38">
        <v>0</v>
      </c>
      <c r="U42" s="38"/>
      <c r="V42" s="38">
        <v>0</v>
      </c>
      <c r="W42" s="38"/>
      <c r="X42" s="38">
        <v>0</v>
      </c>
      <c r="Y42" s="38"/>
      <c r="Z42" s="38">
        <v>0</v>
      </c>
      <c r="AA42" s="38"/>
      <c r="AB42" s="38">
        <v>0</v>
      </c>
      <c r="AC42" s="38"/>
      <c r="AD42" s="38">
        <v>0</v>
      </c>
    </row>
    <row r="43" spans="1:30" ht="15" thickBot="1" x14ac:dyDescent="0.35">
      <c r="B43" s="19"/>
      <c r="C43" s="5"/>
      <c r="D43" s="61"/>
      <c r="E43" s="5"/>
      <c r="F43" s="61"/>
      <c r="G43" s="5"/>
      <c r="H43" s="61"/>
      <c r="I43" s="5"/>
      <c r="J43" s="61"/>
      <c r="K43" s="5"/>
      <c r="L43" s="61"/>
      <c r="M43" s="5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</row>
    <row r="45" spans="1:30" x14ac:dyDescent="0.3">
      <c r="A45" s="6">
        <v>2</v>
      </c>
      <c r="B45" s="15" t="s">
        <v>206</v>
      </c>
    </row>
    <row r="46" spans="1:30" x14ac:dyDescent="0.3">
      <c r="B46" s="16" t="s">
        <v>214</v>
      </c>
    </row>
    <row r="47" spans="1:30" x14ac:dyDescent="0.3">
      <c r="B47" s="51" t="s">
        <v>215</v>
      </c>
      <c r="D47" s="18">
        <f>'Financial Statements'!D159/'Financial Statements'!D$10</f>
        <v>1.6081334858721697E-2</v>
      </c>
      <c r="F47" s="18">
        <f>'Financial Statements'!F159/'Financial Statements'!F$10</f>
        <v>0</v>
      </c>
      <c r="H47" s="18">
        <f>'Financial Statements'!H159/'Financial Statements'!H$10</f>
        <v>0</v>
      </c>
      <c r="J47" s="18">
        <f>'Financial Statements'!J159/'Financial Statements'!J$10</f>
        <v>0</v>
      </c>
      <c r="L47" s="18">
        <f>'Financial Statements'!L159/'Financial Statements'!L$10</f>
        <v>0</v>
      </c>
      <c r="N47" s="18">
        <f>'Financial Statements'!N159/'Financial Statements'!N$10</f>
        <v>0</v>
      </c>
      <c r="O47" s="38"/>
      <c r="P47" s="18">
        <f>'Financial Statements'!P159/'Financial Statements'!P$10</f>
        <v>0</v>
      </c>
      <c r="Q47" s="38"/>
      <c r="R47" s="18">
        <f>'Financial Statements'!R159/'Financial Statements'!R$10</f>
        <v>0</v>
      </c>
      <c r="S47" s="38"/>
      <c r="T47" s="18">
        <f>'Financial Statements'!T159/'Financial Statements'!T$10</f>
        <v>0.23936848202252131</v>
      </c>
      <c r="U47" s="38"/>
      <c r="V47" s="18">
        <f>'Financial Statements'!V159/'Financial Statements'!V$10</f>
        <v>0</v>
      </c>
      <c r="W47" s="38"/>
      <c r="X47" s="18">
        <f>'Financial Statements'!X159/'Financial Statements'!X$10</f>
        <v>0</v>
      </c>
      <c r="Y47" s="38"/>
      <c r="Z47" s="18">
        <f>'Financial Statements'!Z159/'Financial Statements'!Z$10</f>
        <v>0</v>
      </c>
      <c r="AA47" s="38"/>
      <c r="AB47" s="18">
        <f>'Financial Statements'!AB159/'Financial Statements'!AB$10</f>
        <v>0</v>
      </c>
      <c r="AC47" s="38"/>
      <c r="AD47" s="18">
        <f>'Financial Statements'!AD159/'Financial Statements'!AD$10</f>
        <v>0</v>
      </c>
    </row>
    <row r="48" spans="1:30" x14ac:dyDescent="0.3">
      <c r="B48" s="51" t="s">
        <v>216</v>
      </c>
      <c r="D48" s="18">
        <f>'Financial Statements'!D164/'Financial Statements'!D$10</f>
        <v>0.20975529029147869</v>
      </c>
      <c r="F48" s="18">
        <f>'Financial Statements'!F164/'Financial Statements'!F$10</f>
        <v>0.19824457625221825</v>
      </c>
      <c r="H48" s="18">
        <f>'Financial Statements'!H164/'Financial Statements'!H$10</f>
        <v>0.6205713211988152</v>
      </c>
      <c r="J48" s="18">
        <f>'Financial Statements'!J164/'Financial Statements'!J$10</f>
        <v>0.50455008981650462</v>
      </c>
      <c r="L48" s="18">
        <f>'Financial Statements'!L164/'Financial Statements'!L$10</f>
        <v>0.5075759745653482</v>
      </c>
      <c r="N48" s="18">
        <f>'Financial Statements'!N164/'Financial Statements'!N$10</f>
        <v>0.44331529235304612</v>
      </c>
      <c r="O48" s="38"/>
      <c r="P48" s="18">
        <f>'Financial Statements'!P164/'Financial Statements'!P$10</f>
        <v>0.3256055421949644</v>
      </c>
      <c r="Q48" s="38"/>
      <c r="R48" s="18">
        <f>'Financial Statements'!R164/'Financial Statements'!R$10</f>
        <v>0.25807200946162928</v>
      </c>
      <c r="S48" s="38"/>
      <c r="T48" s="18">
        <f>'Financial Statements'!T164/'Financial Statements'!T$10</f>
        <v>0</v>
      </c>
      <c r="U48" s="38"/>
      <c r="V48" s="18">
        <f>'Financial Statements'!V164/'Financial Statements'!V$10</f>
        <v>0.3538766704838579</v>
      </c>
      <c r="W48" s="38"/>
      <c r="X48" s="18">
        <f>'Financial Statements'!X164/'Financial Statements'!X$10</f>
        <v>0.32523502287221578</v>
      </c>
      <c r="Y48" s="38"/>
      <c r="Z48" s="18">
        <f>'Financial Statements'!Z164/'Financial Statements'!Z$10</f>
        <v>0.34388410185986362</v>
      </c>
      <c r="AA48" s="38"/>
      <c r="AB48" s="18">
        <f>'Financial Statements'!AB164/'Financial Statements'!AB$10</f>
        <v>0.33853013232942647</v>
      </c>
      <c r="AC48" s="38"/>
      <c r="AD48" s="18">
        <f>'Financial Statements'!AD164/'Financial Statements'!AD$10</f>
        <v>0.33178559372952932</v>
      </c>
    </row>
    <row r="49" spans="1:30" x14ac:dyDescent="0.3">
      <c r="B49" s="51" t="s">
        <v>221</v>
      </c>
      <c r="D49" s="18">
        <f>SUM(D48,D47)</f>
        <v>0.22583662515020039</v>
      </c>
      <c r="F49" s="18">
        <f>SUM(F48,F47)</f>
        <v>0.19824457625221825</v>
      </c>
      <c r="H49" s="18">
        <f>SUM(H48,H47)</f>
        <v>0.6205713211988152</v>
      </c>
      <c r="J49" s="18">
        <f>SUM(J48,J47)</f>
        <v>0.50455008981650462</v>
      </c>
      <c r="L49" s="18">
        <f>SUM(L48,L47)</f>
        <v>0.5075759745653482</v>
      </c>
      <c r="N49" s="18">
        <f>SUM(N48,N47)</f>
        <v>0.44331529235304612</v>
      </c>
      <c r="O49" s="38"/>
      <c r="P49" s="18">
        <f>SUM(P48,P47)</f>
        <v>0.3256055421949644</v>
      </c>
      <c r="Q49" s="38"/>
      <c r="R49" s="18">
        <f>SUM(R48,R47)</f>
        <v>0.25807200946162928</v>
      </c>
      <c r="S49" s="38"/>
      <c r="T49" s="18">
        <f>SUM(T48,T47)</f>
        <v>0.23936848202252131</v>
      </c>
      <c r="U49" s="38"/>
      <c r="V49" s="18">
        <f>SUM(V48,V47)</f>
        <v>0.3538766704838579</v>
      </c>
      <c r="W49" s="38"/>
      <c r="X49" s="18">
        <f>SUM(X48,X47)</f>
        <v>0.32523502287221578</v>
      </c>
      <c r="Y49" s="38"/>
      <c r="Z49" s="18">
        <f>SUM(Z48,Z47)</f>
        <v>0.34388410185986362</v>
      </c>
      <c r="AA49" s="38"/>
      <c r="AB49" s="18">
        <f>SUM(AB48,AB47)</f>
        <v>0.33853013232942647</v>
      </c>
      <c r="AC49" s="38"/>
      <c r="AD49" s="18">
        <f>SUM(AD48,AD47)</f>
        <v>0.33178559372952932</v>
      </c>
    </row>
    <row r="51" spans="1:30" x14ac:dyDescent="0.3">
      <c r="B51" s="16" t="s">
        <v>217</v>
      </c>
      <c r="F51" s="4">
        <f>D54</f>
        <v>62774</v>
      </c>
      <c r="H51" s="4">
        <f>F54</f>
        <v>62000</v>
      </c>
      <c r="J51" s="4">
        <f>H54</f>
        <v>251000</v>
      </c>
      <c r="L51" s="4">
        <f>J54</f>
        <v>246892</v>
      </c>
      <c r="N51" s="4">
        <f>IF(N86&gt;=$D$71,0,L54)</f>
        <v>248094</v>
      </c>
      <c r="P51" s="4">
        <f>IF(P86&gt;=$D$71,0,N54)</f>
        <v>248094</v>
      </c>
      <c r="R51" s="4">
        <f>IF(R86&gt;=$D$71,0,P54)</f>
        <v>248094</v>
      </c>
      <c r="T51" s="4">
        <f>IF(T86&gt;=$D$71,0,R54)</f>
        <v>248094</v>
      </c>
      <c r="V51" s="4">
        <f>IF(V86&gt;=$D$71,0,T54)</f>
        <v>0</v>
      </c>
      <c r="X51" s="4">
        <f>IF(X86&gt;=$D$71,0,V54)</f>
        <v>400000</v>
      </c>
      <c r="Z51" s="4">
        <f>IF(Z86&gt;=$D$71,0,X54)</f>
        <v>400000</v>
      </c>
      <c r="AB51" s="4">
        <f>IF(AB86&gt;=$D$71,0,Z54)</f>
        <v>400000</v>
      </c>
      <c r="AD51" s="4">
        <f>IF(AD86&gt;=$D$71,0,AB54)</f>
        <v>400000</v>
      </c>
    </row>
    <row r="52" spans="1:30" x14ac:dyDescent="0.3">
      <c r="B52" s="16" t="s">
        <v>220</v>
      </c>
      <c r="F52" s="4">
        <f>F54-F51-F53</f>
        <v>3696</v>
      </c>
      <c r="H52" s="4">
        <f>H54-H51-H53</f>
        <v>189000</v>
      </c>
      <c r="J52" s="4">
        <f>J54-J51-J53</f>
        <v>-4108</v>
      </c>
      <c r="L52" s="4">
        <f>L54-L51-L53</f>
        <v>1202</v>
      </c>
      <c r="N52" s="38">
        <v>0</v>
      </c>
      <c r="O52" s="38"/>
      <c r="P52" s="38">
        <v>0</v>
      </c>
      <c r="Q52" s="38"/>
      <c r="R52" s="38">
        <v>0</v>
      </c>
      <c r="S52" s="38"/>
      <c r="T52" s="38">
        <v>0</v>
      </c>
      <c r="U52" s="38"/>
      <c r="V52" s="38">
        <v>400000</v>
      </c>
      <c r="W52" s="38"/>
      <c r="X52" s="38">
        <v>0</v>
      </c>
      <c r="Y52" s="38"/>
      <c r="Z52" s="38">
        <v>0</v>
      </c>
      <c r="AA52" s="38"/>
      <c r="AB52" s="38">
        <v>0</v>
      </c>
      <c r="AC52" s="38"/>
      <c r="AD52" s="38">
        <v>0</v>
      </c>
    </row>
    <row r="53" spans="1:30" x14ac:dyDescent="0.3">
      <c r="B53" s="16" t="s">
        <v>219</v>
      </c>
      <c r="F53" s="4">
        <f>-'Financial Statements'!D159</f>
        <v>-4470</v>
      </c>
      <c r="H53" s="4">
        <f>-'Financial Statements'!F159</f>
        <v>0</v>
      </c>
      <c r="J53" s="4">
        <f>-'Financial Statements'!H159</f>
        <v>0</v>
      </c>
      <c r="L53" s="4">
        <f>-'Financial Statements'!J159</f>
        <v>0</v>
      </c>
      <c r="N53" s="38">
        <v>0</v>
      </c>
      <c r="O53" s="38"/>
      <c r="P53" s="38">
        <v>0</v>
      </c>
      <c r="Q53" s="38"/>
      <c r="R53" s="38">
        <v>0</v>
      </c>
      <c r="S53" s="38"/>
      <c r="T53" s="38">
        <v>0</v>
      </c>
      <c r="U53" s="38"/>
      <c r="V53" s="38">
        <f>IF(V86&gt;=D71,0,-V51)</f>
        <v>0</v>
      </c>
      <c r="W53" s="38"/>
      <c r="X53" s="38">
        <v>0</v>
      </c>
      <c r="Y53" s="38"/>
      <c r="Z53" s="38">
        <v>0</v>
      </c>
      <c r="AA53" s="38"/>
      <c r="AB53" s="38">
        <v>0</v>
      </c>
      <c r="AC53" s="38"/>
      <c r="AD53" s="38">
        <v>0</v>
      </c>
    </row>
    <row r="54" spans="1:30" x14ac:dyDescent="0.3">
      <c r="B54" s="16" t="s">
        <v>218</v>
      </c>
      <c r="D54" s="4">
        <f>'Financial Statements'!D159+'Financial Statements'!D164</f>
        <v>62774</v>
      </c>
      <c r="F54" s="4">
        <f>'Financial Statements'!F159+'Financial Statements'!F164</f>
        <v>62000</v>
      </c>
      <c r="H54" s="4">
        <f>'Financial Statements'!H159+'Financial Statements'!H164</f>
        <v>251000</v>
      </c>
      <c r="J54" s="4">
        <f>'Financial Statements'!J159+'Financial Statements'!J164</f>
        <v>246892</v>
      </c>
      <c r="L54" s="4">
        <f>'Financial Statements'!L159+'Financial Statements'!L164</f>
        <v>248094</v>
      </c>
      <c r="N54" s="4">
        <f>SUM(N51:N53)</f>
        <v>248094</v>
      </c>
      <c r="P54" s="4">
        <f>SUM(P51:P53)</f>
        <v>248094</v>
      </c>
      <c r="R54" s="4">
        <f>SUM(R51:R53)</f>
        <v>248094</v>
      </c>
      <c r="T54" s="4">
        <f>SUM(T51:T53)</f>
        <v>248094</v>
      </c>
      <c r="V54" s="4">
        <f>SUM(V51:V53)</f>
        <v>400000</v>
      </c>
      <c r="X54" s="4">
        <f>SUM(X51:X53)</f>
        <v>400000</v>
      </c>
      <c r="Z54" s="4">
        <f>SUM(Z51:Z53)</f>
        <v>400000</v>
      </c>
      <c r="AB54" s="4">
        <f>SUM(AB51:AB53)</f>
        <v>400000</v>
      </c>
      <c r="AD54" s="4">
        <f>SUM(AD51:AD53)</f>
        <v>400000</v>
      </c>
    </row>
    <row r="56" spans="1:30" x14ac:dyDescent="0.3">
      <c r="B56" s="16" t="s">
        <v>215</v>
      </c>
      <c r="D56" s="4">
        <f>'Financial Statements'!D159</f>
        <v>4470</v>
      </c>
      <c r="F56" s="4">
        <f>'Financial Statements'!F159</f>
        <v>0</v>
      </c>
      <c r="H56" s="4">
        <f>'Financial Statements'!H159</f>
        <v>0</v>
      </c>
      <c r="J56" s="4">
        <f>'Financial Statements'!J159</f>
        <v>0</v>
      </c>
      <c r="L56" s="4">
        <f>'Financial Statements'!L159</f>
        <v>0</v>
      </c>
      <c r="N56" s="4">
        <f>IF(OR(P53&lt;0,P86&gt;=$D$71),N54,0)</f>
        <v>0</v>
      </c>
      <c r="P56" s="4">
        <f>IF(OR(R53&lt;0,R86&gt;=$D$71),P54,0)</f>
        <v>0</v>
      </c>
      <c r="R56" s="4">
        <f>IF(OR(T53&lt;0,T86&gt;=$D$71),R54,0)</f>
        <v>0</v>
      </c>
      <c r="T56" s="4">
        <f>IF(OR(V53&lt;0,V86&gt;=$D$71),T54,0)</f>
        <v>248094</v>
      </c>
      <c r="V56" s="4">
        <f>IF(OR(X53&lt;0,X86&gt;=$D$71),V54,0)</f>
        <v>0</v>
      </c>
      <c r="X56" s="4">
        <f>IF(OR(Z53&lt;0,Z86&gt;=$D$71),X54,0)</f>
        <v>0</v>
      </c>
      <c r="Z56" s="4">
        <f>IF(OR(AB53&lt;0,AB86&gt;=$D$71),Z54,0)</f>
        <v>0</v>
      </c>
      <c r="AB56" s="4">
        <f>IF(OR(AD53&lt;0,AD86&gt;=$D$71),AB54,0)</f>
        <v>0</v>
      </c>
      <c r="AD56" s="4">
        <f>IF(OR(AF53&lt;0,AF86&gt;=$D$71),AD54,0)</f>
        <v>0</v>
      </c>
    </row>
    <row r="57" spans="1:30" x14ac:dyDescent="0.3">
      <c r="B57" s="16" t="s">
        <v>216</v>
      </c>
      <c r="D57" s="4">
        <f>'Financial Statements'!D164</f>
        <v>58304</v>
      </c>
      <c r="F57" s="4">
        <f>'Financial Statements'!F164</f>
        <v>62000</v>
      </c>
      <c r="H57" s="4">
        <f>'Financial Statements'!H164</f>
        <v>251000</v>
      </c>
      <c r="J57" s="4">
        <f>'Financial Statements'!J164</f>
        <v>246892</v>
      </c>
      <c r="L57" s="4">
        <f>'Financial Statements'!L164</f>
        <v>248094</v>
      </c>
      <c r="N57" s="4">
        <f>IF(OR(P53&lt;0,P86&gt;=$D$71),0,N54)</f>
        <v>248094</v>
      </c>
      <c r="P57" s="4">
        <f>IF(OR(R53&lt;0,R86&gt;=$D$71),0,P54)</f>
        <v>248094</v>
      </c>
      <c r="R57" s="4">
        <f>IF(OR(T53&lt;0,T86&gt;=$D$71),0,R54)</f>
        <v>248094</v>
      </c>
      <c r="T57" s="4">
        <f>IF(OR(V53&lt;0,V86&gt;=$D$71),0,T54)</f>
        <v>0</v>
      </c>
      <c r="V57" s="4">
        <f>IF(OR(X53&lt;0,X86&gt;=$D$71),0,V54)</f>
        <v>400000</v>
      </c>
      <c r="W57" s="38"/>
      <c r="X57" s="4">
        <f>IF(OR(Z53&lt;0,Z86&gt;=$D$71),0,X54)</f>
        <v>400000</v>
      </c>
      <c r="Y57" s="38"/>
      <c r="Z57" s="4">
        <f>IF(OR(AB53&lt;0,AB86&gt;=$D$71),0,Z54)</f>
        <v>400000</v>
      </c>
      <c r="AA57" s="38"/>
      <c r="AB57" s="4">
        <f>IF(OR(AD53&lt;0,AD86&gt;=$D$71),0,AB54)</f>
        <v>400000</v>
      </c>
      <c r="AC57" s="38"/>
      <c r="AD57" s="4">
        <f>IF(OR(AF53&lt;0,AF86&gt;=$D$71),0,AD54)</f>
        <v>400000</v>
      </c>
    </row>
    <row r="58" spans="1:30" ht="15" thickBot="1" x14ac:dyDescent="0.35">
      <c r="B58" s="19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60" spans="1:30" ht="28.8" x14ac:dyDescent="0.3">
      <c r="A60" s="6">
        <v>3</v>
      </c>
      <c r="B60" s="15" t="s">
        <v>225</v>
      </c>
    </row>
    <row r="61" spans="1:30" ht="28.8" x14ac:dyDescent="0.3">
      <c r="B61" s="16" t="s">
        <v>222</v>
      </c>
      <c r="F61" s="4">
        <f>'Financial Statements'!F172-'Financial Statements'!D172</f>
        <v>0</v>
      </c>
      <c r="H61" s="4">
        <f>'Financial Statements'!H172-'Financial Statements'!F172</f>
        <v>0</v>
      </c>
      <c r="J61" s="4">
        <f>'Financial Statements'!J172-'Financial Statements'!H172</f>
        <v>0</v>
      </c>
      <c r="L61" s="4">
        <f>'Financial Statements'!L172-'Financial Statements'!J172</f>
        <v>0</v>
      </c>
      <c r="N61" s="38">
        <v>0</v>
      </c>
      <c r="O61" s="38"/>
      <c r="P61" s="38">
        <v>0</v>
      </c>
      <c r="Q61" s="38"/>
      <c r="R61" s="38">
        <v>0</v>
      </c>
      <c r="S61" s="38"/>
      <c r="T61" s="38">
        <v>0</v>
      </c>
      <c r="U61" s="38"/>
      <c r="V61" s="38">
        <v>0</v>
      </c>
      <c r="W61" s="38"/>
      <c r="X61" s="38">
        <v>0</v>
      </c>
      <c r="Y61" s="38"/>
      <c r="Z61" s="38">
        <v>0</v>
      </c>
      <c r="AA61" s="38"/>
      <c r="AB61" s="38">
        <v>0</v>
      </c>
      <c r="AD61" s="38">
        <v>0</v>
      </c>
    </row>
    <row r="62" spans="1:30" ht="28.8" x14ac:dyDescent="0.3">
      <c r="B62" s="16" t="s">
        <v>223</v>
      </c>
      <c r="F62" s="4">
        <f>-'Financial Statements'!F174+'Financial Statements'!D174</f>
        <v>213</v>
      </c>
      <c r="H62" s="4">
        <f>-'Financial Statements'!H174+'Financial Statements'!F174</f>
        <v>201</v>
      </c>
      <c r="J62" s="4">
        <f>-'Financial Statements'!J174+'Financial Statements'!H174</f>
        <v>100</v>
      </c>
      <c r="L62" s="4">
        <f>-'Financial Statements'!L174+'Financial Statements'!J174</f>
        <v>0</v>
      </c>
      <c r="N62" s="38">
        <v>0</v>
      </c>
      <c r="O62" s="38"/>
      <c r="P62" s="38">
        <v>0</v>
      </c>
      <c r="Q62" s="38"/>
      <c r="R62" s="38">
        <v>0</v>
      </c>
      <c r="S62" s="38"/>
      <c r="T62" s="38">
        <v>0</v>
      </c>
      <c r="U62" s="38"/>
      <c r="V62" s="38">
        <v>0</v>
      </c>
      <c r="W62" s="38"/>
      <c r="X62" s="38">
        <v>0</v>
      </c>
      <c r="Y62" s="38"/>
      <c r="Z62" s="38">
        <v>0</v>
      </c>
      <c r="AA62" s="38"/>
      <c r="AB62" s="38">
        <v>0</v>
      </c>
      <c r="AD62" s="38">
        <v>0</v>
      </c>
    </row>
    <row r="64" spans="1:30" ht="28.8" x14ac:dyDescent="0.3">
      <c r="B64" s="16" t="s">
        <v>38</v>
      </c>
      <c r="D64" s="4">
        <f>'Financial Statements'!D49</f>
        <v>36080495</v>
      </c>
      <c r="F64" s="4">
        <f>'Financial Statements'!F49</f>
        <v>36201283</v>
      </c>
      <c r="H64" s="4">
        <f>'Financial Statements'!H49</f>
        <v>37344891</v>
      </c>
      <c r="J64" s="4">
        <f>'Financial Statements'!J49</f>
        <v>38595435</v>
      </c>
      <c r="L64" s="4">
        <f>'Financial Statements'!L49</f>
        <v>40184159</v>
      </c>
      <c r="N64" s="17">
        <f>L64+N84+N85+N86</f>
        <v>40482648.417790696</v>
      </c>
      <c r="P64" s="17">
        <f>N64+P84+P85+P86</f>
        <v>40781137.835581392</v>
      </c>
      <c r="R64" s="17">
        <f>P64+R84+R85+R86</f>
        <v>41079627.253372088</v>
      </c>
      <c r="T64" s="17">
        <f>R64+T84+T85+T86</f>
        <v>41378116.671162784</v>
      </c>
      <c r="V64" s="17">
        <f>T64+V84+V85+V86</f>
        <v>49098641.671162784</v>
      </c>
      <c r="X64" s="17">
        <f>V64+X84+X85+X86</f>
        <v>49098641.671162784</v>
      </c>
      <c r="Z64" s="17">
        <f>X64+Z84+Z85+Z86</f>
        <v>49098641.671162784</v>
      </c>
      <c r="AB64" s="17">
        <f>Z64+AB84+AB85+AB86</f>
        <v>49098641.671162784</v>
      </c>
      <c r="AD64" s="17">
        <f>AB64+AD84+AD85+AD86</f>
        <v>49098641.671162784</v>
      </c>
    </row>
    <row r="65" spans="2:30" ht="28.8" x14ac:dyDescent="0.3">
      <c r="B65" s="16" t="s">
        <v>39</v>
      </c>
      <c r="D65" s="4">
        <f>'Financial Statements'!D50</f>
        <v>36420662</v>
      </c>
      <c r="F65" s="4">
        <f>'Financial Statements'!F50</f>
        <v>36747556</v>
      </c>
      <c r="H65" s="4">
        <f>'Financial Statements'!H50</f>
        <v>45802807</v>
      </c>
      <c r="J65" s="4">
        <f>'Financial Statements'!J50</f>
        <v>47255842</v>
      </c>
      <c r="L65" s="4">
        <f>'Financial Statements'!L50</f>
        <v>49335112</v>
      </c>
      <c r="N65" s="17">
        <f>N64+N87</f>
        <v>50122671.667790696</v>
      </c>
      <c r="P65" s="17">
        <f>P64+P87</f>
        <v>49781328.335581392</v>
      </c>
      <c r="R65" s="17">
        <f>R64+R87</f>
        <v>49439985.003372088</v>
      </c>
      <c r="T65" s="17">
        <f>T64+T87</f>
        <v>49098641.671162784</v>
      </c>
      <c r="V65" s="17">
        <f>V64+V87</f>
        <v>49098641.671162784</v>
      </c>
      <c r="X65" s="17">
        <f>X64+X87</f>
        <v>49098641.671162784</v>
      </c>
      <c r="Z65" s="17">
        <f>Z64+Z87</f>
        <v>49098641.671162784</v>
      </c>
      <c r="AB65" s="17">
        <f>AB64+AB87</f>
        <v>49098641.671162784</v>
      </c>
      <c r="AD65" s="17">
        <f>AD64+AD87</f>
        <v>49098641.671162784</v>
      </c>
    </row>
    <row r="67" spans="2:30" x14ac:dyDescent="0.3">
      <c r="B67" s="15" t="s">
        <v>296</v>
      </c>
    </row>
    <row r="68" spans="2:30" ht="28.8" x14ac:dyDescent="0.3">
      <c r="B68" s="16" t="s">
        <v>262</v>
      </c>
      <c r="D68" s="4">
        <v>250000000</v>
      </c>
    </row>
    <row r="69" spans="2:30" x14ac:dyDescent="0.3">
      <c r="B69" s="16" t="s">
        <v>263</v>
      </c>
      <c r="D69" s="4">
        <v>32.380000000000003</v>
      </c>
    </row>
    <row r="70" spans="2:30" ht="28.8" x14ac:dyDescent="0.3">
      <c r="B70" s="16" t="s">
        <v>264</v>
      </c>
      <c r="D70" s="4">
        <v>30.882100000000001</v>
      </c>
    </row>
    <row r="71" spans="2:30" x14ac:dyDescent="0.3">
      <c r="B71" s="16" t="s">
        <v>265</v>
      </c>
      <c r="D71" s="4">
        <f>D68*D70/1000</f>
        <v>7720525</v>
      </c>
    </row>
    <row r="72" spans="2:30" x14ac:dyDescent="0.3">
      <c r="B72" s="16" t="s">
        <v>292</v>
      </c>
      <c r="D72" s="4">
        <v>2021</v>
      </c>
    </row>
    <row r="74" spans="2:30" x14ac:dyDescent="0.3">
      <c r="B74" s="15" t="s">
        <v>266</v>
      </c>
    </row>
    <row r="75" spans="2:30" ht="28.8" x14ac:dyDescent="0.3">
      <c r="B75" s="16" t="s">
        <v>267</v>
      </c>
      <c r="D75" s="4">
        <v>2559331</v>
      </c>
    </row>
    <row r="76" spans="2:30" x14ac:dyDescent="0.3">
      <c r="B76" s="16" t="s">
        <v>268</v>
      </c>
      <c r="D76" s="4">
        <v>25348245</v>
      </c>
    </row>
    <row r="77" spans="2:30" x14ac:dyDescent="0.3">
      <c r="B77" s="16" t="s">
        <v>280</v>
      </c>
      <c r="D77" s="4">
        <f>D78*D79</f>
        <v>58711053.140000001</v>
      </c>
    </row>
    <row r="78" spans="2:30" ht="28.8" x14ac:dyDescent="0.3">
      <c r="B78" s="16" t="s">
        <v>254</v>
      </c>
      <c r="D78" s="4">
        <v>2559331</v>
      </c>
    </row>
    <row r="79" spans="2:30" ht="28.8" x14ac:dyDescent="0.3">
      <c r="B79" s="16" t="s">
        <v>295</v>
      </c>
      <c r="D79" s="4">
        <v>22.94</v>
      </c>
    </row>
    <row r="80" spans="2:30" x14ac:dyDescent="0.3">
      <c r="B80" s="16" t="s">
        <v>282</v>
      </c>
      <c r="D80" s="38">
        <v>43</v>
      </c>
    </row>
    <row r="81" spans="2:30" ht="28.8" x14ac:dyDescent="0.3">
      <c r="B81" s="16" t="s">
        <v>291</v>
      </c>
      <c r="D81" s="38">
        <v>4</v>
      </c>
    </row>
    <row r="82" spans="2:30" x14ac:dyDescent="0.3">
      <c r="D82" s="38"/>
    </row>
    <row r="83" spans="2:30" x14ac:dyDescent="0.3">
      <c r="B83" s="16" t="s">
        <v>301</v>
      </c>
      <c r="N83" s="4">
        <f>$D$80</f>
        <v>43</v>
      </c>
      <c r="P83" s="4">
        <f>$D$80</f>
        <v>43</v>
      </c>
      <c r="R83" s="4">
        <f>$D$80</f>
        <v>43</v>
      </c>
      <c r="T83" s="4">
        <f>$D$80</f>
        <v>43</v>
      </c>
      <c r="V83" s="4">
        <f>$D$80</f>
        <v>43</v>
      </c>
      <c r="X83" s="4">
        <f>$D$80</f>
        <v>43</v>
      </c>
      <c r="Z83" s="4">
        <f>$D$80</f>
        <v>43</v>
      </c>
      <c r="AB83" s="4">
        <f>$D$80</f>
        <v>43</v>
      </c>
      <c r="AD83" s="4">
        <f>$D$80</f>
        <v>43</v>
      </c>
    </row>
    <row r="84" spans="2:30" ht="28.8" x14ac:dyDescent="0.3">
      <c r="B84" s="16" t="s">
        <v>269</v>
      </c>
      <c r="F84" s="4">
        <f>F64-D64</f>
        <v>120788</v>
      </c>
      <c r="H84" s="4">
        <f>H64-F64</f>
        <v>1143608</v>
      </c>
      <c r="J84" s="4">
        <f>J64-H64</f>
        <v>1250544</v>
      </c>
      <c r="L84" s="4">
        <f>L64-J64</f>
        <v>1588724</v>
      </c>
      <c r="N84" s="38">
        <v>0</v>
      </c>
      <c r="O84" s="38"/>
      <c r="P84" s="38">
        <v>0</v>
      </c>
      <c r="Q84" s="38"/>
      <c r="R84" s="38">
        <v>0</v>
      </c>
      <c r="S84" s="38"/>
      <c r="T84" s="38">
        <v>0</v>
      </c>
      <c r="U84" s="38"/>
      <c r="V84" s="38">
        <v>0</v>
      </c>
      <c r="W84" s="38"/>
      <c r="X84" s="38">
        <v>0</v>
      </c>
      <c r="Y84" s="38"/>
      <c r="Z84" s="38">
        <v>0</v>
      </c>
      <c r="AA84" s="38"/>
      <c r="AB84" s="38">
        <v>0</v>
      </c>
      <c r="AC84" s="38"/>
      <c r="AD84" s="38">
        <v>0</v>
      </c>
    </row>
    <row r="85" spans="2:30" ht="28.8" x14ac:dyDescent="0.3">
      <c r="B85" s="16" t="s">
        <v>281</v>
      </c>
      <c r="N85" s="17">
        <f>-N86*$D$79/$D$80</f>
        <v>-341343.33220930235</v>
      </c>
      <c r="P85" s="17">
        <f>-P86*$D$79/$D$80</f>
        <v>-341343.33220930235</v>
      </c>
      <c r="R85" s="17">
        <f>-R86*$D$79/$D$80</f>
        <v>-341343.33220930235</v>
      </c>
      <c r="T85" s="17">
        <f>-T86*$D$79/$D$80</f>
        <v>-341343.33220930235</v>
      </c>
      <c r="V85" s="17">
        <v>0</v>
      </c>
      <c r="X85" s="17">
        <f>-X86*$D$79/$D$80</f>
        <v>0</v>
      </c>
      <c r="Z85" s="17">
        <f>-Z86*$D$79/$D$80</f>
        <v>0</v>
      </c>
      <c r="AB85" s="17">
        <f>-AB86*$D$79/$D$80</f>
        <v>0</v>
      </c>
      <c r="AD85" s="17">
        <f>-AD86*$D$79/$D$80</f>
        <v>0</v>
      </c>
    </row>
    <row r="86" spans="2:30" ht="28.8" x14ac:dyDescent="0.3">
      <c r="B86" s="16" t="s">
        <v>293</v>
      </c>
      <c r="N86" s="43">
        <f>$D$75/$D$81</f>
        <v>639832.75</v>
      </c>
      <c r="O86" s="38"/>
      <c r="P86" s="43">
        <f>$D$75/$D$81</f>
        <v>639832.75</v>
      </c>
      <c r="Q86" s="38"/>
      <c r="R86" s="43">
        <f>$D$75/$D$81</f>
        <v>639832.75</v>
      </c>
      <c r="S86" s="38"/>
      <c r="T86" s="43">
        <f>$D$75/$D$81</f>
        <v>639832.75</v>
      </c>
      <c r="U86" s="38"/>
      <c r="V86" s="38">
        <f>D71</f>
        <v>7720525</v>
      </c>
      <c r="W86" s="38"/>
      <c r="X86" s="38">
        <v>0</v>
      </c>
      <c r="Y86" s="38"/>
      <c r="Z86" s="38">
        <v>0</v>
      </c>
      <c r="AA86" s="38"/>
      <c r="AB86" s="38">
        <v>0</v>
      </c>
      <c r="AC86" s="38"/>
      <c r="AD86" s="38">
        <v>0</v>
      </c>
    </row>
    <row r="87" spans="2:30" ht="28.8" x14ac:dyDescent="0.3">
      <c r="B87" s="16" t="s">
        <v>294</v>
      </c>
      <c r="N87" s="17">
        <f>D75-N86+D71</f>
        <v>9640023.25</v>
      </c>
      <c r="P87" s="17">
        <f>N87-P86</f>
        <v>9000190.5</v>
      </c>
      <c r="R87" s="17">
        <f>P87-R86</f>
        <v>8360357.75</v>
      </c>
      <c r="T87" s="17">
        <f>R87-T86</f>
        <v>7720525</v>
      </c>
      <c r="V87" s="17">
        <f>T87-V86</f>
        <v>0</v>
      </c>
      <c r="X87" s="17">
        <f>V87-X86</f>
        <v>0</v>
      </c>
      <c r="Z87" s="17">
        <f>X87-Z86</f>
        <v>0</v>
      </c>
      <c r="AB87" s="17">
        <f>Z87-AB86</f>
        <v>0</v>
      </c>
      <c r="AD87" s="17">
        <f>AB87-AD86</f>
        <v>0</v>
      </c>
    </row>
    <row r="89" spans="2:30" x14ac:dyDescent="0.3">
      <c r="B89" s="16" t="s">
        <v>268</v>
      </c>
      <c r="N89" s="4">
        <f>$D$76/$D$81/1000</f>
        <v>6337.0612499999997</v>
      </c>
      <c r="P89" s="4">
        <f>$D$76/$D$81/1000</f>
        <v>6337.0612499999997</v>
      </c>
      <c r="R89" s="4">
        <f>$D$76/$D$81/1000</f>
        <v>6337.0612499999997</v>
      </c>
      <c r="T89" s="4">
        <f>$D$76/$D$81/1000</f>
        <v>6337.0612499999997</v>
      </c>
      <c r="V89" s="4">
        <f>T54</f>
        <v>248094</v>
      </c>
      <c r="X89" s="4">
        <v>0</v>
      </c>
      <c r="Z89" s="4">
        <v>0</v>
      </c>
      <c r="AB89" s="4">
        <v>0</v>
      </c>
      <c r="AD89" s="4">
        <v>0</v>
      </c>
    </row>
    <row r="91" spans="2:30" x14ac:dyDescent="0.3">
      <c r="B91" s="16" t="s">
        <v>303</v>
      </c>
      <c r="N91" s="4">
        <f>IF(N86&gt;=$D$71,L54,0)</f>
        <v>0</v>
      </c>
      <c r="P91" s="4">
        <f>IF(P86&gt;=$D$71,N54,0)</f>
        <v>0</v>
      </c>
      <c r="R91" s="4">
        <f>IF(R86&gt;=$D$71,P54,0)</f>
        <v>0</v>
      </c>
      <c r="T91" s="4">
        <f>IF(T86&gt;=$D$71,R54,0)</f>
        <v>0</v>
      </c>
      <c r="V91" s="4">
        <f>IF(V86&gt;=$D$71,T54,0)</f>
        <v>248094</v>
      </c>
      <c r="X91" s="4">
        <f>IF(X86&gt;=$D$71,V54,0)</f>
        <v>0</v>
      </c>
      <c r="Z91" s="4">
        <f>IF(Z86&gt;=$D$71,X54,0)</f>
        <v>0</v>
      </c>
      <c r="AB91" s="4">
        <f>IF(AB86&gt;=$D$71,Z54,0)</f>
        <v>0</v>
      </c>
      <c r="AD91" s="4">
        <f>IF(AD86&gt;=$D$71,AB54,0)</f>
        <v>0</v>
      </c>
    </row>
    <row r="92" spans="2:30" ht="15" thickBot="1" x14ac:dyDescent="0.35">
      <c r="B92" s="19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</sheetData>
  <sheetProtection algorithmName="SHA-512" hashValue="L9DNlu5RcdvBx7gFPui2IVVPvnOxWddB3TWOOAtt491s9MJ124TOQ8zYbBUNDTc+TYHnh3TmgDWHG80KdOXrmQ==" saltValue="ikg+RpW7KN84WMuxFk2DY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M39"/>
  <sheetViews>
    <sheetView workbookViewId="0">
      <selection activeCell="L11" sqref="L11"/>
    </sheetView>
  </sheetViews>
  <sheetFormatPr defaultRowHeight="14.4" x14ac:dyDescent="0.3"/>
  <cols>
    <col min="1" max="1" width="8.88671875" style="4"/>
    <col min="2" max="2" width="35.6640625" style="16" customWidth="1"/>
    <col min="3" max="3" width="3.6640625" style="4" customWidth="1"/>
    <col min="4" max="4" width="9" style="4" customWidth="1"/>
    <col min="5" max="5" width="3.6640625" style="4" customWidth="1"/>
    <col min="6" max="6" width="8.88671875" style="4"/>
    <col min="7" max="7" width="3.6640625" style="4" customWidth="1"/>
    <col min="8" max="8" width="8.88671875" style="4"/>
    <col min="9" max="9" width="3.6640625" style="4" customWidth="1"/>
    <col min="10" max="10" width="8.88671875" style="4"/>
    <col min="11" max="11" width="3.6640625" style="4" customWidth="1"/>
    <col min="12" max="12" width="8.88671875" style="4"/>
    <col min="13" max="13" width="3.6640625" style="4" customWidth="1"/>
    <col min="14" max="14" width="8.88671875" style="4"/>
    <col min="15" max="15" width="3.6640625" style="4" customWidth="1"/>
    <col min="16" max="16" width="8.88671875" style="4"/>
    <col min="17" max="17" width="3.6640625" style="4" customWidth="1"/>
    <col min="18" max="18" width="8.88671875" style="4"/>
    <col min="19" max="19" width="3.6640625" style="4" customWidth="1"/>
    <col min="20" max="20" width="8.88671875" style="4"/>
    <col min="21" max="21" width="3.6640625" style="4" customWidth="1"/>
    <col min="22" max="22" width="13.6640625" style="4" customWidth="1"/>
    <col min="23" max="29" width="8.88671875" style="4"/>
    <col min="30" max="30" width="8.88671875" style="4" customWidth="1"/>
    <col min="31" max="31" width="8.88671875" style="4"/>
    <col min="32" max="32" width="8.88671875" style="4" customWidth="1"/>
    <col min="33" max="16384" width="8.88671875" style="4"/>
  </cols>
  <sheetData>
    <row r="1" spans="2:24" ht="25.8" x14ac:dyDescent="0.5">
      <c r="B1" s="9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3" spans="2:24" x14ac:dyDescent="0.3">
      <c r="B3" s="10" t="s">
        <v>258</v>
      </c>
      <c r="C3" s="11"/>
      <c r="D3" s="1" t="s">
        <v>0</v>
      </c>
      <c r="E3" s="1"/>
      <c r="F3" s="1" t="s">
        <v>6</v>
      </c>
      <c r="G3" s="1"/>
      <c r="H3" s="1" t="s">
        <v>7</v>
      </c>
      <c r="I3" s="1"/>
      <c r="J3" s="1" t="s">
        <v>8</v>
      </c>
      <c r="K3" s="1"/>
      <c r="L3" s="1" t="s">
        <v>9</v>
      </c>
      <c r="M3" s="1"/>
      <c r="N3" s="1" t="s">
        <v>10</v>
      </c>
      <c r="O3" s="1"/>
      <c r="P3" s="1" t="s">
        <v>11</v>
      </c>
      <c r="Q3" s="1"/>
      <c r="R3" s="1" t="s">
        <v>12</v>
      </c>
      <c r="S3" s="1"/>
      <c r="T3" s="1" t="s">
        <v>13</v>
      </c>
      <c r="U3" s="1"/>
      <c r="V3" s="1" t="s">
        <v>257</v>
      </c>
    </row>
    <row r="4" spans="2:24" x14ac:dyDescent="0.3">
      <c r="B4" s="15" t="s">
        <v>243</v>
      </c>
      <c r="D4" s="17">
        <f>'Financial Statements'!N21*(1-'IS Modelling'!N133)</f>
        <v>117113.5993653163</v>
      </c>
      <c r="F4" s="17">
        <f>'Financial Statements'!P21*(1-'IS Modelling'!P133)</f>
        <v>162508.55935832232</v>
      </c>
      <c r="H4" s="17">
        <f>'Financial Statements'!R21*(1-'IS Modelling'!R133)</f>
        <v>204756.93874924647</v>
      </c>
      <c r="J4" s="17">
        <f>'Financial Statements'!T21*(1-'IS Modelling'!T133)</f>
        <v>216567.80674328364</v>
      </c>
      <c r="L4" s="17">
        <f>'Financial Statements'!V21*(1-'IS Modelling'!V133)</f>
        <v>71375.139454024858</v>
      </c>
      <c r="N4" s="17">
        <f>'Financial Statements'!X21*(1-'IS Modelling'!X133)</f>
        <v>245741.61148633491</v>
      </c>
      <c r="P4" s="17">
        <f>'Financial Statements'!Z21*(1-'IS Modelling'!Z133)</f>
        <v>213805.37309078715</v>
      </c>
      <c r="R4" s="17">
        <f>'Financial Statements'!AB21*(1-'IS Modelling'!AB133)</f>
        <v>211553.3941518529</v>
      </c>
      <c r="T4" s="17">
        <f>'Financial Statements'!AD21*(1-'IS Modelling'!AD133)</f>
        <v>212217.25435933104</v>
      </c>
    </row>
    <row r="5" spans="2:24" x14ac:dyDescent="0.3">
      <c r="B5" s="96" t="s">
        <v>338</v>
      </c>
      <c r="D5" s="17">
        <f>'Financial Statements'!N15</f>
        <v>6337.0612499999997</v>
      </c>
      <c r="F5" s="17">
        <f>'Financial Statements'!P15</f>
        <v>6337.0612499999997</v>
      </c>
      <c r="H5" s="17">
        <f>'Financial Statements'!R15</f>
        <v>6337.0612499999997</v>
      </c>
      <c r="J5" s="17">
        <f>'Financial Statements'!T15</f>
        <v>6337.0612499999997</v>
      </c>
      <c r="L5" s="17">
        <f>'Financial Statements'!V15</f>
        <v>248094</v>
      </c>
      <c r="N5" s="17">
        <f>'Financial Statements'!X15</f>
        <v>0</v>
      </c>
      <c r="P5" s="17">
        <f>'Financial Statements'!Z15</f>
        <v>0</v>
      </c>
      <c r="R5" s="17">
        <f>'Financial Statements'!AB15</f>
        <v>0</v>
      </c>
      <c r="T5" s="17">
        <f>'Financial Statements'!AD15</f>
        <v>0</v>
      </c>
    </row>
    <row r="6" spans="2:24" x14ac:dyDescent="0.3">
      <c r="B6" s="67" t="s">
        <v>244</v>
      </c>
      <c r="D6" s="17">
        <f>'Financial Statements'!N16*'IS Modelling'!N133</f>
        <v>10626.573303121535</v>
      </c>
      <c r="F6" s="17">
        <f>'Financial Statements'!P16*'IS Modelling'!P133</f>
        <v>11595.674008481081</v>
      </c>
      <c r="H6" s="17">
        <f>'Financial Statements'!R16*'IS Modelling'!R133</f>
        <v>12615.52052238529</v>
      </c>
      <c r="J6" s="17">
        <f>'Financial Statements'!T16*'IS Modelling'!T133</f>
        <v>13918.94505589552</v>
      </c>
      <c r="L6" s="17">
        <f>'Financial Statements'!V16*'IS Modelling'!V133</f>
        <v>14951.650993904572</v>
      </c>
      <c r="N6" s="17">
        <f>'Financial Statements'!X16*'IS Modelling'!X133</f>
        <v>15247.924325088585</v>
      </c>
      <c r="P6" s="17">
        <f>'Financial Statements'!Z16*'IS Modelling'!Z133</f>
        <v>16312.797900992</v>
      </c>
      <c r="R6" s="17">
        <f>'Financial Statements'!AB16*'IS Modelling'!AB133</f>
        <v>16441.772626857055</v>
      </c>
      <c r="T6" s="17">
        <f>'Financial Statements'!AD16*'IS Modelling'!AD133</f>
        <v>17464.825373836593</v>
      </c>
    </row>
    <row r="7" spans="2:24" x14ac:dyDescent="0.3">
      <c r="B7" s="67" t="s">
        <v>245</v>
      </c>
      <c r="D7" s="17">
        <f>'Financial Statements'!L185-'Financial Statements'!N185</f>
        <v>12613.161622860032</v>
      </c>
      <c r="F7" s="17">
        <f>'Financial Statements'!N185-'Financial Statements'!P185</f>
        <v>-50696.696952099854</v>
      </c>
      <c r="H7" s="17">
        <f>'Financial Statements'!P185-'Financial Statements'!R185</f>
        <v>-49964.15012776907</v>
      </c>
      <c r="J7" s="17">
        <f>'Financial Statements'!R185-'Financial Statements'!T185</f>
        <v>-18822.936622088047</v>
      </c>
      <c r="L7" s="17">
        <f>'Financial Statements'!T185-'Financial Statements'!V185</f>
        <v>-23526.208389332489</v>
      </c>
      <c r="N7" s="17">
        <f>'Financial Statements'!V185-'Financial Statements'!X185</f>
        <v>-24943.89193420636</v>
      </c>
      <c r="P7" s="17">
        <f>'Financial Statements'!X185-'Financial Statements'!Z185</f>
        <v>16713.34744811838</v>
      </c>
      <c r="R7" s="17">
        <f>'Financial Statements'!Z185-'Financial Statements'!AB185</f>
        <v>-4609.7983054287615</v>
      </c>
      <c r="T7" s="17">
        <f>'Financial Statements'!AB185-'Financial Statements'!AD185</f>
        <v>-6018.8406675530714</v>
      </c>
    </row>
    <row r="8" spans="2:24" x14ac:dyDescent="0.3">
      <c r="B8" s="68" t="s">
        <v>246</v>
      </c>
      <c r="C8" s="23"/>
      <c r="D8" s="24">
        <f>-'IS Modelling'!N111</f>
        <v>-55963.330000000009</v>
      </c>
      <c r="E8" s="23"/>
      <c r="F8" s="24">
        <f>-'IS Modelling'!P111</f>
        <v>-68575.184099999999</v>
      </c>
      <c r="G8" s="23"/>
      <c r="H8" s="24">
        <f>-'IS Modelling'!R111</f>
        <v>-76906.906879999995</v>
      </c>
      <c r="I8" s="23"/>
      <c r="J8" s="24">
        <f>-'IS Modelling'!T111</f>
        <v>-72551.656982</v>
      </c>
      <c r="K8" s="23"/>
      <c r="L8" s="24">
        <f>-'IS Modelling'!V111</f>
        <v>-67820.237957999998</v>
      </c>
      <c r="M8" s="23"/>
      <c r="N8" s="24">
        <f>-'IS Modelling'!X111</f>
        <v>-61493.992323999992</v>
      </c>
      <c r="O8" s="23"/>
      <c r="P8" s="24">
        <f>-'IS Modelling'!Z111</f>
        <v>-58159.129462025005</v>
      </c>
      <c r="Q8" s="23"/>
      <c r="R8" s="24">
        <f>-'IS Modelling'!AB111</f>
        <v>-59078.935935126261</v>
      </c>
      <c r="S8" s="23"/>
      <c r="T8" s="24">
        <f>-'IS Modelling'!AD111</f>
        <v>-60279.892731882574</v>
      </c>
      <c r="U8" s="23"/>
      <c r="V8" s="23"/>
    </row>
    <row r="9" spans="2:24" x14ac:dyDescent="0.3">
      <c r="B9" s="31" t="s">
        <v>247</v>
      </c>
      <c r="D9" s="17">
        <f>SUM(D4:D8)</f>
        <v>90727.065541297867</v>
      </c>
      <c r="F9" s="17">
        <f>SUM(F4:F8)</f>
        <v>61169.413564703558</v>
      </c>
      <c r="H9" s="17">
        <f>SUM(H4:H8)</f>
        <v>96838.463513862691</v>
      </c>
      <c r="J9" s="17">
        <f>SUM(J4:J8)</f>
        <v>145449.21944509109</v>
      </c>
      <c r="L9" s="17">
        <f>SUM(L4:L8)</f>
        <v>243074.34410059691</v>
      </c>
      <c r="N9" s="17">
        <f>SUM(N4:N8)</f>
        <v>174551.65155321715</v>
      </c>
      <c r="P9" s="17">
        <f>SUM(P4:P8)</f>
        <v>188672.38897787253</v>
      </c>
      <c r="R9" s="17">
        <f>SUM(R4:R8)</f>
        <v>164306.43253815494</v>
      </c>
      <c r="T9" s="17">
        <f>SUM(T4:T8)</f>
        <v>163383.34633373198</v>
      </c>
      <c r="V9" s="17">
        <f>T9*(1+D27)/(D28-D27)</f>
        <v>2764988.0356369633</v>
      </c>
    </row>
    <row r="10" spans="2:24" x14ac:dyDescent="0.3">
      <c r="B10" s="69" t="s">
        <v>305</v>
      </c>
      <c r="D10" s="17"/>
      <c r="F10" s="63">
        <f>F9/D9-1</f>
        <v>-0.32578648719923631</v>
      </c>
      <c r="H10" s="63">
        <f>H9/F9-1</f>
        <v>0.58311904382456192</v>
      </c>
      <c r="J10" s="63">
        <f>J9/H9-1</f>
        <v>0.50197776965213459</v>
      </c>
      <c r="L10" s="63">
        <f>L9/J9-1</f>
        <v>0.67119730877868711</v>
      </c>
      <c r="N10" s="63">
        <f>N9/L9-1</f>
        <v>-0.28190014376433525</v>
      </c>
      <c r="P10" s="63">
        <f>P9/N9-1</f>
        <v>8.0897186013449307E-2</v>
      </c>
      <c r="R10" s="63">
        <f>R9/P9-1</f>
        <v>-0.12914426202858553</v>
      </c>
      <c r="T10" s="63">
        <f>T9/R9-1</f>
        <v>-5.6180770902478638E-3</v>
      </c>
      <c r="V10" s="63"/>
    </row>
    <row r="12" spans="2:24" s="6" customFormat="1" ht="15" thickBot="1" x14ac:dyDescent="0.35">
      <c r="B12" s="14" t="s">
        <v>248</v>
      </c>
      <c r="C12" s="25"/>
      <c r="D12" s="25">
        <v>0</v>
      </c>
      <c r="E12" s="25"/>
      <c r="F12" s="25">
        <v>1</v>
      </c>
      <c r="G12" s="25"/>
      <c r="H12" s="25">
        <v>2</v>
      </c>
      <c r="I12" s="25"/>
      <c r="J12" s="25">
        <v>3</v>
      </c>
      <c r="K12" s="25"/>
      <c r="L12" s="25">
        <v>4</v>
      </c>
      <c r="M12" s="25"/>
      <c r="N12" s="25">
        <v>5</v>
      </c>
      <c r="O12" s="25"/>
      <c r="P12" s="25">
        <v>6</v>
      </c>
      <c r="Q12" s="25"/>
      <c r="R12" s="25">
        <v>7</v>
      </c>
      <c r="S12" s="25"/>
      <c r="T12" s="25">
        <v>8</v>
      </c>
      <c r="U12" s="25"/>
      <c r="V12" s="25">
        <v>8</v>
      </c>
    </row>
    <row r="13" spans="2:24" x14ac:dyDescent="0.3">
      <c r="B13" s="70" t="s">
        <v>249</v>
      </c>
      <c r="C13" s="71"/>
      <c r="D13" s="72">
        <f>D9/(1+$D$28)^D12</f>
        <v>90727.065541297867</v>
      </c>
      <c r="E13" s="71"/>
      <c r="F13" s="72">
        <f>F9/(1+$D$28)^F12</f>
        <v>56624.091564638351</v>
      </c>
      <c r="G13" s="71"/>
      <c r="H13" s="72">
        <f>H9/(1+$D$28)^H12</f>
        <v>82981.589884717425</v>
      </c>
      <c r="I13" s="71"/>
      <c r="J13" s="72">
        <f>J9/(1+$D$28)^J12</f>
        <v>115375.12563421685</v>
      </c>
      <c r="K13" s="71"/>
      <c r="L13" s="72">
        <f>L9/(1+$D$28)^L12</f>
        <v>178487.1048872823</v>
      </c>
      <c r="M13" s="71"/>
      <c r="N13" s="72">
        <f>N9/(1+$D$28)^N12</f>
        <v>118647.50654503288</v>
      </c>
      <c r="O13" s="71"/>
      <c r="P13" s="72">
        <f>P9/(1+$D$28)^P12</f>
        <v>118716.18517517949</v>
      </c>
      <c r="Q13" s="71"/>
      <c r="R13" s="72">
        <f>R9/(1+$D$28)^R12</f>
        <v>95702.455504436803</v>
      </c>
      <c r="S13" s="71"/>
      <c r="T13" s="72">
        <f>T9/(1+$D$28)^T12</f>
        <v>88093.37161692456</v>
      </c>
      <c r="U13" s="71"/>
      <c r="V13" s="72">
        <f>V9/(1+$D$28)^V12</f>
        <v>1490831.9850554348</v>
      </c>
    </row>
    <row r="14" spans="2:24" x14ac:dyDescent="0.3">
      <c r="B14" s="31" t="s">
        <v>250</v>
      </c>
      <c r="D14" s="21">
        <f>SUM(D13:V13)</f>
        <v>2436186.4814091614</v>
      </c>
      <c r="W14" s="77">
        <f>V13/D14</f>
        <v>0.61195314744259399</v>
      </c>
      <c r="X14" s="4" t="s">
        <v>306</v>
      </c>
    </row>
    <row r="15" spans="2:24" x14ac:dyDescent="0.3">
      <c r="B15" s="67" t="s">
        <v>251</v>
      </c>
      <c r="D15" s="4">
        <f>'Financial Statements'!L130</f>
        <v>271513</v>
      </c>
    </row>
    <row r="16" spans="2:24" x14ac:dyDescent="0.3">
      <c r="B16" s="68" t="s">
        <v>252</v>
      </c>
      <c r="C16" s="23"/>
      <c r="D16" s="23">
        <f>'Financial Statements'!L159+'Financial Statements'!L164</f>
        <v>248094</v>
      </c>
    </row>
    <row r="17" spans="2:39" x14ac:dyDescent="0.3">
      <c r="B17" s="31" t="s">
        <v>253</v>
      </c>
      <c r="D17" s="21">
        <f>D14+D15-D16</f>
        <v>2459605.4814091614</v>
      </c>
    </row>
    <row r="18" spans="2:39" x14ac:dyDescent="0.3">
      <c r="B18" s="22" t="s">
        <v>254</v>
      </c>
      <c r="C18" s="23"/>
      <c r="D18" s="23">
        <f>'Financial Statements'!L50</f>
        <v>49335112</v>
      </c>
    </row>
    <row r="19" spans="2:39" x14ac:dyDescent="0.3">
      <c r="B19" s="31" t="s">
        <v>255</v>
      </c>
      <c r="D19" s="36">
        <f>D17*1000/D18</f>
        <v>49.855070388999252</v>
      </c>
    </row>
    <row r="20" spans="2:39" x14ac:dyDescent="0.3">
      <c r="Z20" s="6" t="s">
        <v>308</v>
      </c>
      <c r="AA20" s="6"/>
      <c r="AB20" s="6"/>
      <c r="AC20" s="6"/>
      <c r="AD20" s="6" t="s">
        <v>309</v>
      </c>
      <c r="AE20" s="6"/>
      <c r="AF20" s="6"/>
      <c r="AG20" s="6"/>
      <c r="AH20" s="6"/>
    </row>
    <row r="21" spans="2:39" ht="15" thickBot="1" x14ac:dyDescent="0.35">
      <c r="B21" s="19" t="s">
        <v>259</v>
      </c>
      <c r="C21" s="5"/>
      <c r="D21" s="5">
        <v>40.86</v>
      </c>
      <c r="Z21" s="81">
        <f>D19</f>
        <v>49.855070388999252</v>
      </c>
      <c r="AA21" s="80">
        <f>AB21-1%</f>
        <v>5.0271875000000008E-2</v>
      </c>
      <c r="AB21" s="80">
        <f>AC21-1%</f>
        <v>6.0271875000000009E-2</v>
      </c>
      <c r="AC21" s="80">
        <f>AD21-1%</f>
        <v>7.0271875000000011E-2</v>
      </c>
      <c r="AD21" s="83">
        <v>8.0271875000000006E-2</v>
      </c>
      <c r="AE21" s="80">
        <f>AD21+1%</f>
        <v>9.0271875000000001E-2</v>
      </c>
      <c r="AF21" s="80">
        <f>AE21+1%</f>
        <v>0.100271875</v>
      </c>
      <c r="AG21" s="80">
        <f>AF21+1%</f>
        <v>0.11027187499999999</v>
      </c>
      <c r="AH21" s="80">
        <f>AG21+1%</f>
        <v>0.12027187499999999</v>
      </c>
      <c r="AJ21" s="18"/>
      <c r="AK21" s="18"/>
      <c r="AL21" s="18"/>
      <c r="AM21" s="18"/>
    </row>
    <row r="22" spans="2:39" x14ac:dyDescent="0.3">
      <c r="B22" s="15" t="s">
        <v>256</v>
      </c>
      <c r="D22" s="73">
        <f>D19/D21-1</f>
        <v>0.22014367080272268</v>
      </c>
      <c r="Z22" s="82">
        <v>-0.02</v>
      </c>
      <c r="AA22" s="78">
        <f t="dataTable" ref="AA22:AH30" dt2D="1" dtr="1" r1="D28" r2="D27"/>
        <v>53.279878263389492</v>
      </c>
      <c r="AB22" s="78">
        <v>46.53294639466565</v>
      </c>
      <c r="AC22" s="78">
        <v>41.285157110446079</v>
      </c>
      <c r="AD22" s="84">
        <v>37.088144533011572</v>
      </c>
      <c r="AE22" s="78">
        <v>33.656157573293029</v>
      </c>
      <c r="AF22" s="78">
        <v>30.798459511800427</v>
      </c>
      <c r="AG22" s="78">
        <v>28.382862407143048</v>
      </c>
      <c r="AH22" s="78">
        <v>26.314859116414141</v>
      </c>
      <c r="AI22" s="18"/>
      <c r="AJ22" s="18"/>
      <c r="AK22" s="18"/>
      <c r="AL22" s="18"/>
      <c r="AM22" s="18"/>
    </row>
    <row r="23" spans="2:39" x14ac:dyDescent="0.3">
      <c r="Z23" s="82">
        <v>-0.01</v>
      </c>
      <c r="AA23" s="78">
        <v>58.826688064352098</v>
      </c>
      <c r="AB23" s="78">
        <v>50.430445550289654</v>
      </c>
      <c r="AC23" s="78">
        <v>44.12619487519337</v>
      </c>
      <c r="AD23" s="84">
        <v>39.219169725870245</v>
      </c>
      <c r="AE23" s="78">
        <v>35.291708645290271</v>
      </c>
      <c r="AF23" s="78">
        <v>32.07761325367548</v>
      </c>
      <c r="AG23" s="78">
        <v>29.399184936377168</v>
      </c>
      <c r="AH23" s="78">
        <v>27.133260531615157</v>
      </c>
      <c r="AI23" s="18"/>
      <c r="AJ23" s="18"/>
      <c r="AK23" s="18"/>
      <c r="AL23" s="18"/>
      <c r="AM23" s="18"/>
    </row>
    <row r="24" spans="2:39" x14ac:dyDescent="0.3">
      <c r="B24" s="15" t="s">
        <v>304</v>
      </c>
      <c r="D24" s="36">
        <f>D19/'Financial Statements'!N47</f>
        <v>26.863957752292222</v>
      </c>
      <c r="F24" s="6" t="s">
        <v>391</v>
      </c>
      <c r="G24" s="6"/>
      <c r="H24" s="6"/>
      <c r="I24" s="6"/>
      <c r="J24" s="36">
        <f>D14/'Financial Statements'!P21</f>
        <v>9.7442326679198406</v>
      </c>
      <c r="Z24" s="82">
        <v>0</v>
      </c>
      <c r="AA24" s="78">
        <v>66.580222719306192</v>
      </c>
      <c r="AB24" s="78">
        <v>55.621250797892387</v>
      </c>
      <c r="AC24" s="78">
        <v>47.775817230787929</v>
      </c>
      <c r="AD24" s="84">
        <v>41.88114681012518</v>
      </c>
      <c r="AE24" s="78">
        <v>37.289620878390508</v>
      </c>
      <c r="AF24" s="78">
        <v>33.611904089950151</v>
      </c>
      <c r="AG24" s="78">
        <v>30.599837790861329</v>
      </c>
      <c r="AH24" s="78">
        <v>28.087753849466068</v>
      </c>
      <c r="AI24" s="18"/>
      <c r="AJ24" s="18"/>
      <c r="AK24" s="18"/>
      <c r="AL24" s="18"/>
      <c r="AM24" s="18"/>
    </row>
    <row r="25" spans="2:39" x14ac:dyDescent="0.3">
      <c r="B25" s="15" t="s">
        <v>307</v>
      </c>
      <c r="D25" s="36">
        <f>D19/'Financial Statements'!P47</f>
        <v>18.087803899829645</v>
      </c>
      <c r="F25" s="6" t="s">
        <v>392</v>
      </c>
      <c r="G25" s="6"/>
      <c r="H25" s="6"/>
      <c r="I25" s="6"/>
      <c r="J25" s="36">
        <f>D14/'Financial Statements'!R21</f>
        <v>7.7336632525806523</v>
      </c>
      <c r="Y25" s="6" t="s">
        <v>310</v>
      </c>
      <c r="Z25" s="82">
        <v>0.01</v>
      </c>
      <c r="AA25" s="78">
        <v>78.184352686722931</v>
      </c>
      <c r="AB25" s="78">
        <v>62.877149200505848</v>
      </c>
      <c r="AC25" s="78">
        <v>52.636492786766432</v>
      </c>
      <c r="AD25" s="84">
        <v>45.300746224581182</v>
      </c>
      <c r="AE25" s="78">
        <v>39.785319473924709</v>
      </c>
      <c r="AF25" s="78">
        <v>35.486121583619422</v>
      </c>
      <c r="AG25" s="78">
        <v>32.039970131389644</v>
      </c>
      <c r="AH25" s="78">
        <v>29.21536353408791</v>
      </c>
      <c r="AI25" s="18"/>
      <c r="AJ25" s="18"/>
      <c r="AK25" s="18"/>
      <c r="AL25" s="18"/>
      <c r="AM25" s="18"/>
    </row>
    <row r="26" spans="2:39" x14ac:dyDescent="0.3">
      <c r="Y26" s="6" t="s">
        <v>311</v>
      </c>
      <c r="Z26" s="86">
        <v>0.02</v>
      </c>
      <c r="AA26" s="84">
        <v>97.455090663994824</v>
      </c>
      <c r="AB26" s="84">
        <v>73.736504557936243</v>
      </c>
      <c r="AC26" s="84">
        <v>59.430923770000632</v>
      </c>
      <c r="AD26" s="84">
        <v>49.855070388999252</v>
      </c>
      <c r="AE26" s="84">
        <v>42.991316064363488</v>
      </c>
      <c r="AF26" s="84">
        <v>37.827306491135516</v>
      </c>
      <c r="AG26" s="84">
        <v>33.799168037029638</v>
      </c>
      <c r="AH26" s="84">
        <v>30.567883680316626</v>
      </c>
      <c r="AI26" s="18"/>
      <c r="AJ26" s="18"/>
      <c r="AK26" s="18"/>
      <c r="AL26" s="18"/>
      <c r="AM26" s="18"/>
    </row>
    <row r="27" spans="2:39" x14ac:dyDescent="0.3">
      <c r="B27" s="15" t="s">
        <v>260</v>
      </c>
      <c r="D27" s="74">
        <v>0.02</v>
      </c>
      <c r="Z27" s="82">
        <v>0.03</v>
      </c>
      <c r="AA27" s="78">
        <v>135.73811830590986</v>
      </c>
      <c r="AB27" s="78">
        <v>91.770410786384986</v>
      </c>
      <c r="AC27" s="78">
        <v>69.599635679183379</v>
      </c>
      <c r="AD27" s="84">
        <v>56.22127213483558</v>
      </c>
      <c r="AE27" s="78">
        <v>47.261157637371248</v>
      </c>
      <c r="AF27" s="78">
        <v>40.834813425071459</v>
      </c>
      <c r="AG27" s="78">
        <v>35.996675850253091</v>
      </c>
      <c r="AH27" s="78">
        <v>32.220058651756119</v>
      </c>
      <c r="AI27" s="18"/>
      <c r="AJ27" s="18"/>
      <c r="AK27" s="18"/>
      <c r="AL27" s="18"/>
      <c r="AM27" s="18"/>
    </row>
    <row r="28" spans="2:39" s="6" customFormat="1" x14ac:dyDescent="0.3">
      <c r="B28" s="15" t="s">
        <v>261</v>
      </c>
      <c r="D28" s="75">
        <f>D39*D37+(1-D39)*D33</f>
        <v>8.0271875000000006E-2</v>
      </c>
      <c r="Z28" s="82">
        <v>0.04</v>
      </c>
      <c r="AA28" s="78">
        <v>248.56065824117942</v>
      </c>
      <c r="AB28" s="78">
        <v>127.59636262329248</v>
      </c>
      <c r="AC28" s="78">
        <v>86.486604656474896</v>
      </c>
      <c r="AD28" s="84">
        <v>65.749085673436142</v>
      </c>
      <c r="AE28" s="78">
        <v>53.229699158613592</v>
      </c>
      <c r="AF28" s="78">
        <v>44.840300572477091</v>
      </c>
      <c r="AG28" s="78">
        <v>38.819613912270505</v>
      </c>
      <c r="AH28" s="78">
        <v>34.283878416951715</v>
      </c>
      <c r="AI28" s="27"/>
      <c r="AJ28" s="27"/>
      <c r="AK28" s="27"/>
      <c r="AL28" s="27"/>
      <c r="AM28" s="27"/>
    </row>
    <row r="29" spans="2:39" x14ac:dyDescent="0.3">
      <c r="Z29" s="82">
        <v>0.05</v>
      </c>
      <c r="AA29" s="78">
        <v>8660.9723428398138</v>
      </c>
      <c r="AB29" s="78">
        <v>233.1777424359249</v>
      </c>
      <c r="AC29" s="78">
        <v>120.03406406920122</v>
      </c>
      <c r="AD29" s="84">
        <v>81.571728018379588</v>
      </c>
      <c r="AE29" s="78">
        <v>62.162364660297563</v>
      </c>
      <c r="AF29" s="78">
        <v>50.439317759255886</v>
      </c>
      <c r="AG29" s="78">
        <v>42.579286748846506</v>
      </c>
      <c r="AH29" s="78">
        <v>36.935079624636373</v>
      </c>
      <c r="AI29" s="18"/>
      <c r="AJ29" s="18"/>
      <c r="AK29" s="18"/>
      <c r="AL29" s="18"/>
      <c r="AM29" s="18"/>
    </row>
    <row r="30" spans="2:39" x14ac:dyDescent="0.3">
      <c r="B30" s="16" t="s">
        <v>283</v>
      </c>
      <c r="D30" s="4">
        <v>1.28</v>
      </c>
      <c r="Z30" s="82">
        <v>0.06</v>
      </c>
      <c r="AA30" s="79">
        <v>-221.64802570362903</v>
      </c>
      <c r="AB30" s="79">
        <v>8105.6652234073836</v>
      </c>
      <c r="AC30" s="79">
        <v>218.90058044616484</v>
      </c>
      <c r="AD30" s="85">
        <v>113.00480831732919</v>
      </c>
      <c r="AE30" s="79">
        <v>76.996657003189029</v>
      </c>
      <c r="AF30" s="79">
        <v>58.818944086671316</v>
      </c>
      <c r="AG30" s="79">
        <v>47.834695655173633</v>
      </c>
      <c r="AH30" s="79">
        <v>40.466028212897676</v>
      </c>
      <c r="AI30" s="18"/>
      <c r="AJ30" s="18"/>
      <c r="AK30" s="18"/>
      <c r="AL30" s="18"/>
      <c r="AM30" s="18"/>
    </row>
    <row r="31" spans="2:39" x14ac:dyDescent="0.3">
      <c r="B31" s="16" t="s">
        <v>284</v>
      </c>
      <c r="D31" s="92">
        <f>6%+D32</f>
        <v>8.3999999999999991E-2</v>
      </c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</row>
    <row r="32" spans="2:39" x14ac:dyDescent="0.3">
      <c r="B32" s="16" t="s">
        <v>285</v>
      </c>
      <c r="D32" s="76">
        <v>2.4E-2</v>
      </c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</row>
    <row r="33" spans="2:39" s="6" customFormat="1" x14ac:dyDescent="0.3">
      <c r="B33" s="15" t="s">
        <v>290</v>
      </c>
      <c r="D33" s="27">
        <f>D32+D30*(D31-D32)</f>
        <v>0.1008</v>
      </c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</row>
    <row r="35" spans="2:39" x14ac:dyDescent="0.3">
      <c r="B35" s="16" t="s">
        <v>286</v>
      </c>
      <c r="D35" s="76">
        <v>2.8750000000000001E-2</v>
      </c>
    </row>
    <row r="36" spans="2:39" x14ac:dyDescent="0.3">
      <c r="B36" s="16" t="s">
        <v>287</v>
      </c>
      <c r="D36" s="74">
        <f>'IS Modelling'!N133</f>
        <v>0.35</v>
      </c>
    </row>
    <row r="37" spans="2:39" s="6" customFormat="1" x14ac:dyDescent="0.3">
      <c r="B37" s="15" t="s">
        <v>288</v>
      </c>
      <c r="D37" s="27">
        <f>D35*(1-D36)</f>
        <v>1.8687500000000003E-2</v>
      </c>
    </row>
    <row r="38" spans="2:39" x14ac:dyDescent="0.3">
      <c r="B38" s="15"/>
    </row>
    <row r="39" spans="2:39" s="6" customFormat="1" x14ac:dyDescent="0.3">
      <c r="B39" s="15" t="s">
        <v>289</v>
      </c>
      <c r="D39" s="58">
        <v>0.25</v>
      </c>
    </row>
  </sheetData>
  <sheetProtection algorithmName="SHA-512" hashValue="cRea3GWicDG8f4EaJyQm3CQ39tQh+eIJFOsluZgiP/UYGni4hR8whlt/9IHi5amzON557ubCewEALyua5aG+cg==" saltValue="XW1PtA/GuwKPc/22cslFT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AD27"/>
  <sheetViews>
    <sheetView workbookViewId="0">
      <selection activeCell="N16" sqref="N16"/>
    </sheetView>
  </sheetViews>
  <sheetFormatPr defaultRowHeight="14.4" x14ac:dyDescent="0.3"/>
  <cols>
    <col min="1" max="1" width="8.88671875" style="4"/>
    <col min="2" max="2" width="25.6640625" style="4" customWidth="1"/>
    <col min="3" max="3" width="3.6640625" style="4" customWidth="1"/>
    <col min="4" max="4" width="8.88671875" style="4"/>
    <col min="5" max="5" width="3.6640625" style="4" customWidth="1"/>
    <col min="6" max="6" width="8.88671875" style="4"/>
    <col min="7" max="7" width="3.6640625" style="4" customWidth="1"/>
    <col min="8" max="8" width="8.88671875" style="4"/>
    <col min="9" max="9" width="3.6640625" style="4" customWidth="1"/>
    <col min="10" max="10" width="8.88671875" style="4"/>
    <col min="11" max="11" width="3.6640625" style="4" customWidth="1"/>
    <col min="12" max="12" width="8.88671875" style="4"/>
    <col min="13" max="13" width="3.6640625" style="4" customWidth="1"/>
    <col min="14" max="14" width="8.88671875" style="4"/>
    <col min="15" max="15" width="3.6640625" style="4" customWidth="1"/>
    <col min="16" max="16" width="8.88671875" style="4"/>
    <col min="17" max="17" width="3.6640625" style="4" customWidth="1"/>
    <col min="18" max="18" width="8.88671875" style="4"/>
    <col min="19" max="19" width="3.6640625" style="4" customWidth="1"/>
    <col min="20" max="20" width="8.88671875" style="4"/>
    <col min="21" max="21" width="3.6640625" style="4" customWidth="1"/>
    <col min="22" max="22" width="8.88671875" style="4"/>
    <col min="23" max="23" width="3.6640625" style="4" customWidth="1"/>
    <col min="24" max="24" width="8.88671875" style="4"/>
    <col min="25" max="25" width="3.6640625" style="4" customWidth="1"/>
    <col min="26" max="26" width="8.88671875" style="4"/>
    <col min="27" max="27" width="3.6640625" style="4" customWidth="1"/>
    <col min="28" max="28" width="8.88671875" style="4"/>
    <col min="29" max="29" width="3.6640625" style="4" customWidth="1"/>
    <col min="30" max="16384" width="8.88671875" style="4"/>
  </cols>
  <sheetData>
    <row r="1" spans="2:30" ht="25.8" x14ac:dyDescent="0.5">
      <c r="B1" s="9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pans="2:30" x14ac:dyDescent="0.3">
      <c r="B2" s="16"/>
    </row>
    <row r="3" spans="2:30" x14ac:dyDescent="0.3">
      <c r="B3" s="10"/>
      <c r="C3" s="1"/>
      <c r="D3" s="1">
        <v>2012</v>
      </c>
      <c r="E3" s="1"/>
      <c r="F3" s="1">
        <v>2013</v>
      </c>
      <c r="G3" s="1"/>
      <c r="H3" s="1">
        <v>2014</v>
      </c>
      <c r="I3" s="1"/>
      <c r="J3" s="1">
        <v>2015</v>
      </c>
      <c r="K3" s="1"/>
      <c r="L3" s="1">
        <v>2016</v>
      </c>
      <c r="M3" s="1"/>
      <c r="N3" s="1" t="s">
        <v>0</v>
      </c>
      <c r="O3" s="1"/>
      <c r="P3" s="1" t="s">
        <v>6</v>
      </c>
      <c r="Q3" s="1"/>
      <c r="R3" s="1" t="s">
        <v>7</v>
      </c>
      <c r="S3" s="1"/>
      <c r="T3" s="1" t="s">
        <v>8</v>
      </c>
      <c r="U3" s="1"/>
      <c r="V3" s="1" t="s">
        <v>9</v>
      </c>
      <c r="W3" s="1"/>
      <c r="X3" s="1" t="s">
        <v>10</v>
      </c>
      <c r="Y3" s="1"/>
      <c r="Z3" s="1" t="s">
        <v>11</v>
      </c>
      <c r="AA3" s="1"/>
      <c r="AB3" s="1" t="s">
        <v>12</v>
      </c>
      <c r="AC3" s="1"/>
      <c r="AD3" s="1" t="s">
        <v>13</v>
      </c>
    </row>
    <row r="4" spans="2:30" x14ac:dyDescent="0.3"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spans="2:30" ht="15" thickBot="1" x14ac:dyDescent="0.35">
      <c r="B5" s="25" t="s">
        <v>226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2:30" x14ac:dyDescent="0.3">
      <c r="B6" s="4" t="s">
        <v>227</v>
      </c>
      <c r="F6" s="18">
        <f>'Financial Statements'!F35/'Financial Statements'!D179</f>
        <v>7.0420783121629929E-2</v>
      </c>
      <c r="H6" s="18">
        <f>'Financial Statements'!H35/'Financial Statements'!F179</f>
        <v>7.5109625586458562E-2</v>
      </c>
      <c r="J6" s="18">
        <f>'Financial Statements'!J35/'Financial Statements'!H179</f>
        <v>0.11364766151905004</v>
      </c>
      <c r="L6" s="18">
        <f>'Financial Statements'!L35/'Financial Statements'!J179</f>
        <v>7.844646425773881E-2</v>
      </c>
      <c r="N6" s="18">
        <f>'Financial Statements'!N35/'Financial Statements'!L179</f>
        <v>0.15601916025071211</v>
      </c>
      <c r="P6" s="18">
        <f>'Financial Statements'!P35/'Financial Statements'!N179</f>
        <v>0.19726700927956228</v>
      </c>
      <c r="R6" s="18">
        <f>'Financial Statements'!R35/'Financial Statements'!P179</f>
        <v>0.23210786224497887</v>
      </c>
      <c r="T6" s="18">
        <f>'Financial Statements'!T35/'Financial Statements'!R179</f>
        <v>0.21978280617992782</v>
      </c>
      <c r="V6" s="18">
        <f>'Financial Statements'!V35/'Financial Statements'!T179</f>
        <v>4.2547343194599935E-2</v>
      </c>
      <c r="X6" s="18">
        <f>'Financial Statements'!X35/'Financial Statements'!V179</f>
        <v>0.20224334465839902</v>
      </c>
      <c r="Z6" s="18">
        <f>'Financial Statements'!Z35/'Financial Statements'!X179</f>
        <v>0.15573422421357302</v>
      </c>
      <c r="AB6" s="18">
        <f>'Financial Statements'!AB35/'Financial Statements'!Z179</f>
        <v>0.14574661875087086</v>
      </c>
      <c r="AD6" s="18">
        <f>'Financial Statements'!AD35/'Financial Statements'!AB179</f>
        <v>0.13778418780933144</v>
      </c>
    </row>
    <row r="7" spans="2:30" x14ac:dyDescent="0.3">
      <c r="B7" s="4" t="s">
        <v>228</v>
      </c>
      <c r="F7" s="18">
        <f>'Financial Statements'!F35/'Financial Statements'!D146</f>
        <v>5.5181397656983856E-2</v>
      </c>
      <c r="H7" s="18">
        <f>'Financial Statements'!H35/'Financial Statements'!F146</f>
        <v>5.8632685955029282E-2</v>
      </c>
      <c r="J7" s="18">
        <f>'Financial Statements'!J35/'Financial Statements'!H146</f>
        <v>6.6510660536443861E-2</v>
      </c>
      <c r="L7" s="18">
        <f>'Financial Statements'!L35/'Financial Statements'!J146</f>
        <v>4.9905347937895909E-2</v>
      </c>
      <c r="N7" s="18">
        <f>'Financial Statements'!N35/'Financial Statements'!L146</f>
        <v>9.5885319759569598E-2</v>
      </c>
      <c r="P7" s="18">
        <f>'Financial Statements'!P35/'Financial Statements'!N146</f>
        <v>0.1268413492400533</v>
      </c>
      <c r="R7" s="18">
        <f>'Financial Statements'!R35/'Financial Statements'!P146</f>
        <v>0.14783963607747125</v>
      </c>
      <c r="T7" s="18">
        <f>'Financial Statements'!T35/'Financial Statements'!R146</f>
        <v>0.13995298933998032</v>
      </c>
      <c r="V7" s="18">
        <f>'Financial Statements'!V35/'Financial Statements'!T146</f>
        <v>2.7702990554706739E-2</v>
      </c>
      <c r="X7" s="18">
        <f>'Financial Statements'!X35/'Financial Statements'!V146</f>
        <v>0.12261327911243186</v>
      </c>
      <c r="Z7" s="18">
        <f>'Financial Statements'!Z35/'Financial Statements'!X146</f>
        <v>9.6322333008150574E-2</v>
      </c>
      <c r="AB7" s="18">
        <f>'Financial Statements'!AB35/'Financial Statements'!Z146</f>
        <v>9.2759217507017697E-2</v>
      </c>
      <c r="AD7" s="18">
        <f>'Financial Statements'!AD35/'Financial Statements'!AB146</f>
        <v>8.9059536514892457E-2</v>
      </c>
    </row>
    <row r="8" spans="2:30" x14ac:dyDescent="0.3">
      <c r="B8" s="4" t="s">
        <v>229</v>
      </c>
      <c r="F8" s="18">
        <f>'Financial Statements'!F35/('Financial Statements'!D159+'Financial Statements'!D164+'Financial Statements'!D153+'Financial Statements'!D179)</f>
        <v>6.1665432103655757E-2</v>
      </c>
      <c r="H8" s="18">
        <f>'Financial Statements'!H35/('Financial Statements'!F159+'Financial Statements'!F164+'Financial Statements'!F153+'Financial Statements'!F179)</f>
        <v>6.6660618870937022E-2</v>
      </c>
      <c r="J8" s="18">
        <f>'Financial Statements'!J35/('Financial Statements'!H159+'Financial Statements'!H164+'Financial Statements'!H153+'Financial Statements'!H179)</f>
        <v>7.8176973169642908E-2</v>
      </c>
      <c r="L8" s="18">
        <f>'Financial Statements'!L35/('Financial Statements'!J159+'Financial Statements'!J164+'Financial Statements'!J153+'Financial Statements'!J179)</f>
        <v>5.7090623204753728E-2</v>
      </c>
      <c r="N8" s="18">
        <f>'Financial Statements'!N35/('Financial Statements'!L159+'Financial Statements'!L164+'Financial Statements'!L153+'Financial Statements'!L179)</f>
        <v>0.10762410165611186</v>
      </c>
      <c r="P8" s="18">
        <f>'Financial Statements'!P35/('Financial Statements'!N159+'Financial Statements'!N164+'Financial Statements'!N153+'Financial Statements'!N179)</f>
        <v>0.14540405375010693</v>
      </c>
      <c r="R8" s="18">
        <f>'Financial Statements'!R35/('Financial Statements'!P159+'Financial Statements'!P164+'Financial Statements'!P153+'Financial Statements'!P179)</f>
        <v>0.17527450395539376</v>
      </c>
      <c r="T8" s="18">
        <f>'Financial Statements'!T35/('Financial Statements'!R159+'Financial Statements'!R164+'Financial Statements'!R153+'Financial Statements'!R179)</f>
        <v>0.17016481839058978</v>
      </c>
      <c r="V8" s="18">
        <f>'Financial Statements'!V35/('Financial Statements'!T159+'Financial Statements'!T164+'Financial Statements'!T153+'Financial Statements'!T179)</f>
        <v>3.3665102191877926E-2</v>
      </c>
      <c r="X8" s="18">
        <f>'Financial Statements'!X35/('Financial Statements'!V159+'Financial Statements'!V164+'Financial Statements'!V153+'Financial Statements'!V179)</f>
        <v>0.14627491498459633</v>
      </c>
      <c r="Z8" s="18">
        <f>'Financial Statements'!Z35/('Financial Statements'!X159+'Financial Statements'!X164+'Financial Statements'!X153+'Financial Statements'!X179)</f>
        <v>0.11529828184811952</v>
      </c>
      <c r="AB8" s="18">
        <f>'Financial Statements'!AB35/('Financial Statements'!Z159+'Financial Statements'!Z164+'Financial Statements'!Z153+'Financial Statements'!Z179)</f>
        <v>0.10937181277262384</v>
      </c>
      <c r="AD8" s="18">
        <f>'Financial Statements'!AD35/('Financial Statements'!AB159+'Financial Statements'!AB164+'Financial Statements'!AB153+'Financial Statements'!AB179)</f>
        <v>0.10466443908197615</v>
      </c>
    </row>
    <row r="10" spans="2:30" ht="15" thickBot="1" x14ac:dyDescent="0.35">
      <c r="B10" s="25" t="s">
        <v>230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2:30" x14ac:dyDescent="0.3">
      <c r="B11" s="4" t="s">
        <v>231</v>
      </c>
      <c r="D11" s="18">
        <f>('Financial Statements'!D10-'Financial Statements'!D13)/'Financial Statements'!D10</f>
        <v>0.83423273684892174</v>
      </c>
      <c r="F11" s="18">
        <f>('Financial Statements'!F10-'Financial Statements'!F13)/'Financial Statements'!F10</f>
        <v>0.80134934211578124</v>
      </c>
      <c r="H11" s="18">
        <f>('Financial Statements'!H10-'Financial Statements'!H13)/'Financial Statements'!H10</f>
        <v>0.74790711703826773</v>
      </c>
      <c r="J11" s="18">
        <f>('Financial Statements'!J10-'Financial Statements'!J13)/'Financial Statements'!J10</f>
        <v>0.78034091443215325</v>
      </c>
      <c r="L11" s="18">
        <f>('Financial Statements'!L10-'Financial Statements'!L13)/'Financial Statements'!L10</f>
        <v>0.73140582099995499</v>
      </c>
      <c r="N11" s="18">
        <f>('Financial Statements'!N10-'Financial Statements'!N13)/'Financial Statements'!N10</f>
        <v>0.73140582099995499</v>
      </c>
      <c r="P11" s="18">
        <f>('Financial Statements'!P10-'Financial Statements'!P13)/'Financial Statements'!P10</f>
        <v>0.73140582099995488</v>
      </c>
      <c r="R11" s="18">
        <f>('Financial Statements'!R10-'Financial Statements'!R13)/'Financial Statements'!R10</f>
        <v>0.73140582099995499</v>
      </c>
      <c r="T11" s="18">
        <f>('Financial Statements'!T10-'Financial Statements'!T13)/'Financial Statements'!T10</f>
        <v>0.73140582099995499</v>
      </c>
      <c r="V11" s="18">
        <f>('Financial Statements'!V10-'Financial Statements'!V13)/'Financial Statements'!V10</f>
        <v>0.73140582099995499</v>
      </c>
      <c r="X11" s="18">
        <f>('Financial Statements'!X10-'Financial Statements'!X13)/'Financial Statements'!X10</f>
        <v>0.73140582099995499</v>
      </c>
      <c r="Z11" s="18">
        <f>('Financial Statements'!Z10-'Financial Statements'!Z13)/'Financial Statements'!Z10</f>
        <v>0.73140582099995499</v>
      </c>
      <c r="AB11" s="18">
        <f>('Financial Statements'!AB10-'Financial Statements'!AB13)/'Financial Statements'!AB10</f>
        <v>0.73140582099995499</v>
      </c>
      <c r="AD11" s="18">
        <f>('Financial Statements'!AD10-'Financial Statements'!AD13)/'Financial Statements'!AD10</f>
        <v>0.73140582099995499</v>
      </c>
    </row>
    <row r="12" spans="2:30" x14ac:dyDescent="0.3">
      <c r="B12" s="4" t="s">
        <v>232</v>
      </c>
      <c r="D12" s="18"/>
      <c r="F12" s="18"/>
      <c r="H12" s="18">
        <f>'Financial Statements'!H21/'Financial Statements'!H10</f>
        <v>0.29235337457289362</v>
      </c>
      <c r="J12" s="18">
        <f>'Financial Statements'!J21/'Financial Statements'!J10</f>
        <v>0.33362080064414479</v>
      </c>
      <c r="L12" s="18">
        <f>'Financial Statements'!L21/'Financial Statements'!L10</f>
        <v>0.26638460499772904</v>
      </c>
      <c r="N12" s="18">
        <f>'Financial Statements'!N21/'Financial Statements'!N10</f>
        <v>0.32195147832398957</v>
      </c>
      <c r="P12" s="18">
        <f>'Financial Statements'!P21/'Financial Statements'!P10</f>
        <v>0.32812431256632313</v>
      </c>
      <c r="R12" s="18">
        <f>'Financial Statements'!R21/'Financial Statements'!R10</f>
        <v>0.32767998379168806</v>
      </c>
      <c r="T12" s="18">
        <f>'Financial Statements'!T21/'Financial Statements'!T10</f>
        <v>0.32146318706176852</v>
      </c>
      <c r="V12" s="18">
        <f>'Financial Statements'!V21/'Financial Statements'!V10</f>
        <v>9.7146141174274475E-2</v>
      </c>
      <c r="X12" s="18">
        <f>'Financial Statements'!X21/'Financial Statements'!X10</f>
        <v>0.30739914858620498</v>
      </c>
      <c r="Z12" s="18">
        <f>'Financial Statements'!Z21/'Financial Statements'!Z10</f>
        <v>0.28278564883899376</v>
      </c>
      <c r="AB12" s="18">
        <f>'Financial Statements'!AB21/'Financial Statements'!AB10</f>
        <v>0.2754507635267926</v>
      </c>
      <c r="AD12" s="18">
        <f>'Financial Statements'!AD21/'Financial Statements'!AD10</f>
        <v>0.27081010668177385</v>
      </c>
    </row>
    <row r="13" spans="2:30" x14ac:dyDescent="0.3">
      <c r="B13" s="4" t="s">
        <v>233</v>
      </c>
      <c r="D13" s="18">
        <f>'Financial Statements'!D19/'Financial Statements'!D10</f>
        <v>0.21787150761614896</v>
      </c>
      <c r="F13" s="18">
        <f>'Financial Statements'!F19/'Financial Statements'!F10</f>
        <v>0.26224240195686582</v>
      </c>
      <c r="H13" s="18">
        <f>'Financial Statements'!H19/'Financial Statements'!H10</f>
        <v>0.22050802786884435</v>
      </c>
      <c r="J13" s="18">
        <f>'Financial Statements'!J19/'Financial Statements'!J10</f>
        <v>0.28919892669787933</v>
      </c>
      <c r="L13" s="18">
        <f>'Financial Statements'!L19/'Financial Statements'!L10</f>
        <v>0.21588765543739336</v>
      </c>
      <c r="N13" s="18">
        <f>'Financial Statements'!N19/'Financial Statements'!N10</f>
        <v>0.26769874173930336</v>
      </c>
      <c r="P13" s="18">
        <f>'Financial Statements'!P19/'Financial Statements'!P10</f>
        <v>0.28464291642905792</v>
      </c>
      <c r="R13" s="18">
        <f>'Financial Statements'!R19/'Financial Statements'!R10</f>
        <v>0.29018598403334306</v>
      </c>
      <c r="T13" s="18">
        <f>'Financial Statements'!T19/'Financial Statements'!T10</f>
        <v>0.28309343608737303</v>
      </c>
      <c r="V13" s="18">
        <f>'Financial Statements'!V19/'Financial Statements'!V10</f>
        <v>5.93529949459915E-2</v>
      </c>
      <c r="X13" s="18">
        <f>'Financial Statements'!X19/'Financial Statements'!X10</f>
        <v>0.27197658418174786</v>
      </c>
      <c r="Z13" s="18">
        <f>'Financial Statements'!Z19/'Financial Statements'!Z10</f>
        <v>0.24271627844610733</v>
      </c>
      <c r="AB13" s="18">
        <f>'Financial Statements'!AB19/'Financial Statements'!AB10</f>
        <v>0.23569336736179075</v>
      </c>
      <c r="AD13" s="18">
        <f>'Financial Statements'!AD19/'Financial Statements'!AD10</f>
        <v>0.22942026771005297</v>
      </c>
    </row>
    <row r="14" spans="2:30" x14ac:dyDescent="0.3">
      <c r="B14" s="4" t="s">
        <v>234</v>
      </c>
      <c r="D14" s="18">
        <f>'Financial Statements'!D35/'Financial Statements'!D10</f>
        <v>8.4630273202811898E-2</v>
      </c>
      <c r="F14" s="18">
        <f>'Financial Statements'!F35/'Financial Statements'!F10</f>
        <v>9.9553949703432509E-2</v>
      </c>
      <c r="H14" s="18">
        <f>'Financial Statements'!H35/'Financial Statements'!H10</f>
        <v>9.0838290486715823E-2</v>
      </c>
      <c r="J14" s="18">
        <f>'Financial Statements'!J35/'Financial Statements'!J10</f>
        <v>0.12848153908090842</v>
      </c>
      <c r="L14" s="18">
        <f>'Financial Statements'!L35/'Financial Statements'!L10</f>
        <v>0.10592861439251036</v>
      </c>
      <c r="N14" s="18">
        <f>'Financial Statements'!N35/'Financial Statements'!N10</f>
        <v>0.16621491865704885</v>
      </c>
      <c r="P14" s="18">
        <f>'Financial Statements'!P35/'Financial Statements'!P10</f>
        <v>0.18008000786114359</v>
      </c>
      <c r="R14" s="18">
        <f>'Financial Statements'!R35/'Financial Statements'!R10</f>
        <v>0.18473372286174963</v>
      </c>
      <c r="T14" s="18">
        <f>'Financial Statements'!T35/'Financial Statements'!T10</f>
        <v>0.18042275351125378</v>
      </c>
      <c r="V14" s="18">
        <f>'Financial Statements'!V35/'Financial Statements'!V10</f>
        <v>3.5394683496829497E-2</v>
      </c>
      <c r="X14" s="18">
        <f>'Financial Statements'!X35/'Financial Statements'!X10</f>
        <v>0.17190886688770338</v>
      </c>
      <c r="Z14" s="18">
        <f>'Financial Statements'!Z35/'Financial Statements'!Z10</f>
        <v>0.15270435708225188</v>
      </c>
      <c r="AB14" s="18">
        <f>'Financial Statements'!AB35/'Financial Statements'!AB10</f>
        <v>0.14835443843612364</v>
      </c>
      <c r="AD14" s="18">
        <f>'Financial Statements'!AD35/'Financial Statements'!AD10</f>
        <v>0.14446712246947291</v>
      </c>
    </row>
    <row r="16" spans="2:30" ht="15" thickBot="1" x14ac:dyDescent="0.35">
      <c r="B16" s="25" t="s">
        <v>235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2:30" x14ac:dyDescent="0.3">
      <c r="B17" s="4" t="s">
        <v>236</v>
      </c>
      <c r="D17" s="18">
        <f>('Financial Statements'!D159+'Financial Statements'!D164+'Financial Statements'!D153)/'Financial Statements'!D179</f>
        <v>0.14198150761770348</v>
      </c>
      <c r="F17" s="18">
        <f>('Financial Statements'!F159+'Financial Statements'!F164+'Financial Statements'!F153)/'Financial Statements'!F179</f>
        <v>0.1267465987959073</v>
      </c>
      <c r="H17" s="18">
        <f>('Financial Statements'!H159+'Financial Statements'!H164+'Financial Statements'!H153)/'Financial Statements'!H179</f>
        <v>0.45372296868588452</v>
      </c>
      <c r="J17" s="18">
        <f>('Financial Statements'!J159+'Financial Statements'!J164+'Financial Statements'!J153)/'Financial Statements'!J179</f>
        <v>0.37406915276424696</v>
      </c>
      <c r="L17" s="18">
        <f>('Financial Statements'!L159+'Financial Statements'!L164+'Financial Statements'!L153)/'Financial Statements'!L179</f>
        <v>0.44966748014525204</v>
      </c>
      <c r="N17" s="18">
        <f>('Financial Statements'!N159+'Financial Statements'!N164+'Financial Statements'!N153)/'Financial Statements'!N179</f>
        <v>0.35668163432766214</v>
      </c>
      <c r="P17" s="18">
        <f>('Financial Statements'!P159+'Financial Statements'!P164+'Financial Statements'!P153)/'Financial Statements'!P179</f>
        <v>0.32425342538153085</v>
      </c>
      <c r="R17" s="18">
        <f>('Financial Statements'!R159+'Financial Statements'!R164+'Financial Statements'!R153)/'Financial Statements'!R179</f>
        <v>0.29158781620444491</v>
      </c>
      <c r="T17" s="18">
        <f>('Financial Statements'!T159+'Financial Statements'!T164+'Financial Statements'!T153)/'Financial Statements'!T179</f>
        <v>0.26384120125632482</v>
      </c>
      <c r="V17" s="18">
        <f>('Financial Statements'!V159+'Financial Statements'!V164+'Financial Statements'!V153)/'Financial Statements'!V179</f>
        <v>0.38262493387671109</v>
      </c>
      <c r="X17" s="18">
        <f>('Financial Statements'!X159+'Financial Statements'!X164+'Financial Statements'!X153)/'Financial Statements'!X179</f>
        <v>0.35070724140294735</v>
      </c>
      <c r="Z17" s="18">
        <f>('Financial Statements'!Z159+'Financial Statements'!Z164+'Financial Statements'!Z153)/'Financial Statements'!Z179</f>
        <v>0.33257934614165746</v>
      </c>
      <c r="AB17" s="18">
        <f>('Financial Statements'!AB159+'Financial Statements'!AB164+'Financial Statements'!AB153)/'Financial Statements'!AB179</f>
        <v>0.31643745495463804</v>
      </c>
      <c r="AD17" s="18">
        <f>('Financial Statements'!AD159+'Financial Statements'!AD164+'Financial Statements'!AD153)/'Financial Statements'!AD179</f>
        <v>0.30187947839328494</v>
      </c>
    </row>
    <row r="18" spans="2:30" x14ac:dyDescent="0.3">
      <c r="B18" s="4" t="s">
        <v>237</v>
      </c>
      <c r="D18" s="18">
        <f>('Financial Statements'!D159+'Financial Statements'!D164+'Financial Statements'!D153)/('Financial Statements'!D159+'Financial Statements'!D164+'Financial Statements'!D153+'Financial Statements'!D179)</f>
        <v>0.12432907772201338</v>
      </c>
      <c r="F18" s="18">
        <f>('Financial Statements'!F159+'Financial Statements'!F164+'Financial Statements'!F153)/('Financial Statements'!F159+'Financial Statements'!F164+'Financial Statements'!F153+'Financial Statements'!F179)</f>
        <v>0.1124890005715167</v>
      </c>
      <c r="H18" s="18">
        <f>('Financial Statements'!H159+'Financial Statements'!H164+'Financial Statements'!H153)/('Financial Statements'!H159+'Financial Statements'!H164+'Financial Statements'!H153+'Financial Statements'!H179)</f>
        <v>0.31211102696962573</v>
      </c>
      <c r="J18" s="18">
        <f>('Financial Statements'!J159+'Financial Statements'!J164+'Financial Statements'!J153)/('Financial Statements'!J159+'Financial Statements'!J164+'Financial Statements'!J153+'Financial Statements'!J179)</f>
        <v>0.2722345902400351</v>
      </c>
      <c r="L18" s="18">
        <f>('Financial Statements'!L159+'Financial Statements'!L164+'Financial Statements'!L153)/('Financial Statements'!L159+'Financial Statements'!L164+'Financial Statements'!L153+'Financial Statements'!L179)</f>
        <v>0.3101866368004591</v>
      </c>
      <c r="N18" s="18">
        <f>('Financial Statements'!N159+'Financial Statements'!N164+'Financial Statements'!N153)/('Financial Statements'!N159+'Financial Statements'!N164+'Financial Statements'!N153+'Financial Statements'!N179)</f>
        <v>0.26290739500164662</v>
      </c>
      <c r="P18" s="18">
        <f>('Financial Statements'!P159+'Financial Statements'!P164+'Financial Statements'!P153)/('Financial Statements'!P159+'Financial Statements'!P164+'Financial Statements'!P153+'Financial Statements'!P179)</f>
        <v>0.24485753192453336</v>
      </c>
      <c r="R18" s="18">
        <f>('Financial Statements'!R159+'Financial Statements'!R164+'Financial Statements'!R153)/('Financial Statements'!R159+'Financial Statements'!R164+'Financial Statements'!R153+'Financial Statements'!R179)</f>
        <v>0.22575918768057629</v>
      </c>
      <c r="T18" s="18">
        <f>('Financial Statements'!T159+'Financial Statements'!T164+'Financial Statements'!T153)/('Financial Statements'!T159+'Financial Statements'!T164+'Financial Statements'!T153+'Financial Statements'!T179)</f>
        <v>0.20876135466548543</v>
      </c>
      <c r="V18" s="18">
        <f>('Financial Statements'!V159+'Financial Statements'!V164+'Financial Statements'!V153)/('Financial Statements'!V159+'Financial Statements'!V164+'Financial Statements'!V153+'Financial Statements'!V179)</f>
        <v>0.27673805419079028</v>
      </c>
      <c r="X18" s="18">
        <f>('Financial Statements'!X159+'Financial Statements'!X164+'Financial Statements'!X153)/('Financial Statements'!X159+'Financial Statements'!X164+'Financial Statements'!X153+'Financial Statements'!X179)</f>
        <v>0.25964711719371264</v>
      </c>
      <c r="Z18" s="18">
        <f>('Financial Statements'!Z159+'Financial Statements'!Z164+'Financial Statements'!Z153)/('Financial Statements'!Z159+'Financial Statements'!Z164+'Financial Statements'!Z153+'Financial Statements'!Z179)</f>
        <v>0.24957564223444237</v>
      </c>
      <c r="AB18" s="18">
        <f>('Financial Statements'!AB159+'Financial Statements'!AB164+'Financial Statements'!AB153)/('Financial Statements'!AB159+'Financial Statements'!AB164+'Financial Statements'!AB153+'Financial Statements'!AB179)</f>
        <v>0.24037408975540117</v>
      </c>
      <c r="AD18" s="18">
        <f>('Financial Statements'!AD159+'Financial Statements'!AD164+'Financial Statements'!AD153)/('Financial Statements'!AD159+'Financial Statements'!AD164+'Financial Statements'!AD153+'Financial Statements'!AD179)</f>
        <v>0.23187974263627659</v>
      </c>
    </row>
    <row r="19" spans="2:30" x14ac:dyDescent="0.3">
      <c r="B19" s="4" t="s">
        <v>238</v>
      </c>
      <c r="D19" s="17">
        <f>'Financial Statements'!D19/'Financial Statements'!D25</f>
        <v>10093.333333333334</v>
      </c>
      <c r="F19" s="17" t="e">
        <f>'Financial Statements'!F19/'Financial Statements'!F25</f>
        <v>#DIV/0!</v>
      </c>
      <c r="H19" s="17">
        <f>'Financial Statements'!H19/'Financial Statements'!H25</f>
        <v>10.82378640776699</v>
      </c>
      <c r="J19" s="17">
        <f>'Financial Statements'!J19/'Financial Statements'!J25</f>
        <v>21.694619040318873</v>
      </c>
      <c r="L19" s="17">
        <f>'Financial Statements'!L19/'Financial Statements'!L25</f>
        <v>13.85348562426152</v>
      </c>
      <c r="N19" s="17">
        <f>'Financial Statements'!N19/'Financial Statements'!N25</f>
        <v>18.890534899877906</v>
      </c>
      <c r="P19" s="17">
        <f>'Financial Statements'!P19/'Financial Statements'!P25</f>
        <v>29.552216760155162</v>
      </c>
      <c r="R19" s="17">
        <f>'Financial Statements'!R19/'Financial Statements'!R25</f>
        <v>38.011674382330234</v>
      </c>
      <c r="T19" s="17">
        <f>'Financial Statements'!T19/'Financial Statements'!T25</f>
        <v>39.980139546207347</v>
      </c>
      <c r="V19" s="17">
        <f>'Financial Statements'!V19/'Financial Statements'!V25</f>
        <v>9.1414672446696841</v>
      </c>
      <c r="X19" s="17">
        <f>'Financial Statements'!X19/'Financial Statements'!X25</f>
        <v>28.269340720513497</v>
      </c>
      <c r="Z19" s="17">
        <f>'Financial Statements'!Z19/'Financial Statements'!Z25</f>
        <v>23.85988123903736</v>
      </c>
      <c r="AB19" s="17">
        <f>'Financial Statements'!AB19/'Financial Statements'!AB25</f>
        <v>23.535937483340941</v>
      </c>
      <c r="AD19" s="17">
        <f>'Financial Statements'!AD19/'Financial Statements'!AD25</f>
        <v>23.375221179448346</v>
      </c>
    </row>
    <row r="21" spans="2:30" ht="15" thickBot="1" x14ac:dyDescent="0.35">
      <c r="B21" s="25" t="s">
        <v>239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2:30" x14ac:dyDescent="0.3">
      <c r="B22" s="4" t="s">
        <v>240</v>
      </c>
      <c r="D22" s="34">
        <f>'Financial Statements'!D137/'Financial Statements'!D161</f>
        <v>4.2539131277561504</v>
      </c>
      <c r="F22" s="34">
        <f>'Financial Statements'!F137/'Financial Statements'!F161</f>
        <v>4.8210093378757657</v>
      </c>
      <c r="H22" s="34">
        <f>'Financial Statements'!H137/'Financial Statements'!H161</f>
        <v>4.6502431781010589</v>
      </c>
      <c r="J22" s="34">
        <f>'Financial Statements'!J137/'Financial Statements'!J161</f>
        <v>5.3950868879942977</v>
      </c>
      <c r="L22" s="34">
        <f>'Financial Statements'!L137/'Financial Statements'!L161</f>
        <v>4.8199251813784763</v>
      </c>
      <c r="N22" s="34">
        <f>'Financial Statements'!N137/'Financial Statements'!N161</f>
        <v>5.3619591121435048</v>
      </c>
      <c r="P22" s="34">
        <f>'Financial Statements'!P137/'Financial Statements'!P161</f>
        <v>4.4595721984217178</v>
      </c>
      <c r="R22" s="34">
        <f>'Financial Statements'!R137/'Financial Statements'!R161</f>
        <v>4.0014976286895774</v>
      </c>
      <c r="T22" s="34">
        <f>'Financial Statements'!T137/'Financial Statements'!T161</f>
        <v>1.8315048182189315</v>
      </c>
      <c r="V22" s="34">
        <f>'Financial Statements'!V137/'Financial Statements'!V161</f>
        <v>4.8720799148139733</v>
      </c>
      <c r="X22" s="34">
        <f>'Financial Statements'!X137/'Financial Statements'!X161</f>
        <v>4.887617848340601</v>
      </c>
      <c r="Z22" s="34">
        <f>'Financial Statements'!Z137/'Financial Statements'!Z161</f>
        <v>5.326950669850647</v>
      </c>
      <c r="AB22" s="34">
        <f>'Financial Statements'!AB137/'Financial Statements'!AB161</f>
        <v>5.4740706033189079</v>
      </c>
      <c r="AD22" s="34">
        <f>'Financial Statements'!AD137/'Financial Statements'!AD161</f>
        <v>5.6012534155797162</v>
      </c>
    </row>
    <row r="23" spans="2:30" x14ac:dyDescent="0.3">
      <c r="B23" s="4" t="s">
        <v>241</v>
      </c>
      <c r="D23" s="34">
        <f>'Financial Statements'!D130/'Financial Statements'!D161</f>
        <v>2.2883680359248548</v>
      </c>
      <c r="F23" s="34">
        <f>'Financial Statements'!F130/'Financial Statements'!F161</f>
        <v>3.1656634481297772</v>
      </c>
      <c r="H23" s="34">
        <f>'Financial Statements'!H130/'Financial Statements'!H161</f>
        <v>3.0181953172075406</v>
      </c>
      <c r="J23" s="34">
        <f>'Financial Statements'!J130/'Financial Statements'!J161</f>
        <v>3.0950798606579593</v>
      </c>
      <c r="L23" s="34">
        <f>'Financial Statements'!L130/'Financial Statements'!L161</f>
        <v>2.5649278264812576</v>
      </c>
      <c r="N23" s="34">
        <f>'Financial Statements'!N130/'Financial Statements'!N161</f>
        <v>3.0820364311802653</v>
      </c>
      <c r="P23" s="34">
        <f>'Financial Statements'!P130/'Financial Statements'!P161</f>
        <v>2.1796495174584778</v>
      </c>
      <c r="R23" s="34">
        <f>'Financial Statements'!R130/'Financial Statements'!R161</f>
        <v>1.7215749477263371</v>
      </c>
      <c r="T23" s="34">
        <f>'Financial Statements'!T130/'Financial Statements'!T161</f>
        <v>0.80572808365042525</v>
      </c>
      <c r="V23" s="34">
        <f>'Financial Statements'!V130/'Financial Statements'!V161</f>
        <v>2.5921572338507328</v>
      </c>
      <c r="X23" s="34">
        <f>'Financial Statements'!X130/'Financial Statements'!X161</f>
        <v>2.6076951673773596</v>
      </c>
      <c r="Z23" s="34">
        <f>'Financial Statements'!Z130/'Financial Statements'!Z161</f>
        <v>3.0470279888874066</v>
      </c>
      <c r="AB23" s="34">
        <f>'Financial Statements'!AB130/'Financial Statements'!AB161</f>
        <v>3.1941479223556684</v>
      </c>
      <c r="AD23" s="34">
        <f>'Financial Statements'!AD130/'Financial Statements'!AD161</f>
        <v>3.3213307346164753</v>
      </c>
    </row>
    <row r="24" spans="2:30" x14ac:dyDescent="0.3">
      <c r="B24" s="4" t="s">
        <v>242</v>
      </c>
      <c r="D24" s="34">
        <f>'Financial Statements'!D10/'Financial Statements'!D146</f>
        <v>0.49263952643425551</v>
      </c>
      <c r="F24" s="34">
        <f>'Financial Statements'!F10/'Financial Statements'!F146</f>
        <v>0.49909037230901809</v>
      </c>
      <c r="H24" s="34">
        <f>'Financial Statements'!H10/'Financial Statements'!H146</f>
        <v>0.42788771790254976</v>
      </c>
      <c r="J24" s="34">
        <f>'Financial Statements'!J10/'Financial Statements'!J146</f>
        <v>0.47165161101279635</v>
      </c>
      <c r="L24" s="34">
        <f>'Financial Statements'!L10/'Financial Statements'!L146</f>
        <v>0.50384131300438817</v>
      </c>
      <c r="N24" s="34">
        <f>'Financial Statements'!N10/'Financial Statements'!N146</f>
        <v>0.51733805727818838</v>
      </c>
      <c r="P24" s="34">
        <f>'Financial Statements'!P10/'Financial Statements'!P146</f>
        <v>0.63429869412399154</v>
      </c>
      <c r="R24" s="34">
        <f>'Financial Statements'!R10/'Financial Statements'!R146</f>
        <v>0.7194770329590181</v>
      </c>
      <c r="T24" s="34">
        <f>'Financial Statements'!T10/'Financial Statements'!T146</f>
        <v>0.71767837033630466</v>
      </c>
      <c r="V24" s="34">
        <f>'Financial Statements'!V10/'Financial Statements'!V146</f>
        <v>0.65551797242360621</v>
      </c>
      <c r="X24" s="34">
        <f>'Financial Statements'!X10/'Financial Statements'!X146</f>
        <v>0.66694551463516327</v>
      </c>
      <c r="Z24" s="34">
        <f>'Financial Statements'!Z10/'Financial Statements'!Z146</f>
        <v>0.61551942750082733</v>
      </c>
      <c r="AB24" s="34">
        <f>'Financial Statements'!AB10/'Financial Statements'!AB146</f>
        <v>0.60418731367551426</v>
      </c>
      <c r="AD24" s="34">
        <f>'Financial Statements'!AD10/'Financial Statements'!AD146</f>
        <v>0.59608224883398242</v>
      </c>
    </row>
    <row r="25" spans="2:30" x14ac:dyDescent="0.3">
      <c r="B25" s="16" t="s">
        <v>211</v>
      </c>
      <c r="D25" s="17">
        <f>'BS Modelling'!D14</f>
        <v>126.11686129758745</v>
      </c>
      <c r="F25" s="17">
        <f>'BS Modelling'!F14</f>
        <v>70.71017921949192</v>
      </c>
      <c r="H25" s="17">
        <f>'BS Modelling'!H14</f>
        <v>53.093238986713345</v>
      </c>
      <c r="J25" s="17">
        <f>'BS Modelling'!J14</f>
        <v>84.964349285044278</v>
      </c>
      <c r="L25" s="17">
        <f>'BS Modelling'!L14</f>
        <v>103.40902488225835</v>
      </c>
      <c r="N25" s="17">
        <f>'BS Modelling'!N14</f>
        <v>87.658730734219063</v>
      </c>
      <c r="P25" s="17">
        <f>'BS Modelling'!P14</f>
        <v>87.658730734219063</v>
      </c>
      <c r="R25" s="17">
        <f>'BS Modelling'!R14</f>
        <v>87.658730734219063</v>
      </c>
      <c r="T25" s="17">
        <f>'BS Modelling'!T14</f>
        <v>87.658730734219063</v>
      </c>
      <c r="V25" s="17">
        <f>'BS Modelling'!V14</f>
        <v>87.658730734219063</v>
      </c>
      <c r="X25" s="17">
        <f>'BS Modelling'!X14</f>
        <v>87.658730734219063</v>
      </c>
      <c r="Z25" s="17">
        <f>'BS Modelling'!Z14</f>
        <v>87.658730734219063</v>
      </c>
      <c r="AB25" s="17">
        <f>'BS Modelling'!AB14</f>
        <v>87.658730734219063</v>
      </c>
      <c r="AD25" s="17">
        <f>'BS Modelling'!AD14</f>
        <v>87.658730734219063</v>
      </c>
    </row>
    <row r="26" spans="2:30" x14ac:dyDescent="0.3">
      <c r="B26" s="16" t="s">
        <v>212</v>
      </c>
      <c r="D26" s="17">
        <f>'BS Modelling'!D15</f>
        <v>120.09820517828851</v>
      </c>
      <c r="F26" s="17">
        <f>'BS Modelling'!F15</f>
        <v>86.028538316673917</v>
      </c>
      <c r="H26" s="17">
        <f>'BS Modelling'!H15</f>
        <v>235.09518158547706</v>
      </c>
      <c r="J26" s="17">
        <f>'BS Modelling'!J15</f>
        <v>206.75953147386636</v>
      </c>
      <c r="L26" s="17">
        <f>'BS Modelling'!L15</f>
        <v>205.74274092806436</v>
      </c>
      <c r="N26" s="17">
        <f>'BS Modelling'!N15</f>
        <v>205.74274092806436</v>
      </c>
      <c r="P26" s="17">
        <f>'BS Modelling'!P15</f>
        <v>205.74274092806436</v>
      </c>
      <c r="R26" s="17">
        <f>'BS Modelling'!R15</f>
        <v>205.74274092806436</v>
      </c>
      <c r="T26" s="17">
        <f>'BS Modelling'!T15</f>
        <v>205.74274092806436</v>
      </c>
      <c r="V26" s="17">
        <f>'BS Modelling'!V15</f>
        <v>205.74274092806436</v>
      </c>
      <c r="X26" s="17">
        <f>'BS Modelling'!X15</f>
        <v>205.74274092806436</v>
      </c>
      <c r="Z26" s="17">
        <f>'BS Modelling'!Z15</f>
        <v>205.74274092806436</v>
      </c>
      <c r="AB26" s="17">
        <f>'BS Modelling'!AB15</f>
        <v>205.74274092806436</v>
      </c>
      <c r="AD26" s="17">
        <f>'BS Modelling'!AD15</f>
        <v>205.74274092806436</v>
      </c>
    </row>
    <row r="27" spans="2:30" x14ac:dyDescent="0.3">
      <c r="B27" s="16" t="s">
        <v>213</v>
      </c>
      <c r="D27" s="17">
        <f>'BS Modelling'!D16</f>
        <v>247.91989495843913</v>
      </c>
      <c r="F27" s="17">
        <f>'BS Modelling'!F16</f>
        <v>161.68759154634861</v>
      </c>
      <c r="H27" s="17">
        <f>'BS Modelling'!H16</f>
        <v>146.51834488981297</v>
      </c>
      <c r="J27" s="17">
        <f>'BS Modelling'!J16</f>
        <v>128.93818729881102</v>
      </c>
      <c r="L27" s="17">
        <f>'BS Modelling'!L16</f>
        <v>96.332264403887748</v>
      </c>
      <c r="N27" s="17">
        <f>'BS Modelling'!N16</f>
        <v>123.92959886417059</v>
      </c>
      <c r="P27" s="17">
        <f>'BS Modelling'!P16</f>
        <v>123.92959886417059</v>
      </c>
      <c r="R27" s="17">
        <f>'BS Modelling'!R16</f>
        <v>123.92959886417059</v>
      </c>
      <c r="T27" s="17">
        <f>'BS Modelling'!T16</f>
        <v>123.92959886417059</v>
      </c>
      <c r="V27" s="17">
        <f>'BS Modelling'!V16</f>
        <v>123.92959886417059</v>
      </c>
      <c r="X27" s="17">
        <f>'BS Modelling'!X16</f>
        <v>123.92959886417059</v>
      </c>
      <c r="Z27" s="17">
        <f>'BS Modelling'!Z16</f>
        <v>123.92959886417059</v>
      </c>
      <c r="AB27" s="17">
        <f>'BS Modelling'!AB16</f>
        <v>123.92959886417059</v>
      </c>
      <c r="AD27" s="17">
        <f>'BS Modelling'!AD16</f>
        <v>123.92959886417059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V25"/>
  <sheetViews>
    <sheetView workbookViewId="0">
      <selection activeCell="F20" sqref="F20"/>
    </sheetView>
  </sheetViews>
  <sheetFormatPr defaultRowHeight="14.4" x14ac:dyDescent="0.3"/>
  <cols>
    <col min="1" max="1" width="8.88671875" style="4"/>
    <col min="2" max="2" width="17.33203125" style="4" bestFit="1" customWidth="1"/>
    <col min="3" max="3" width="30.6640625" style="4" bestFit="1" customWidth="1"/>
    <col min="4" max="5" width="14.6640625" style="4" bestFit="1" customWidth="1"/>
    <col min="6" max="6" width="14.21875" style="4" bestFit="1" customWidth="1"/>
    <col min="7" max="8" width="13.44140625" style="4" bestFit="1" customWidth="1"/>
    <col min="9" max="9" width="12.5546875" style="4" bestFit="1" customWidth="1"/>
    <col min="10" max="12" width="12.109375" style="4" bestFit="1" customWidth="1"/>
    <col min="13" max="13" width="12.44140625" style="4" bestFit="1" customWidth="1"/>
    <col min="14" max="16384" width="8.88671875" style="4"/>
  </cols>
  <sheetData>
    <row r="1" spans="2:22" ht="25.8" x14ac:dyDescent="0.5">
      <c r="B1" s="9" t="s">
        <v>177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99"/>
      <c r="O1" s="99"/>
      <c r="P1" s="99"/>
      <c r="Q1" s="99"/>
      <c r="R1" s="99"/>
      <c r="S1" s="99"/>
      <c r="T1" s="99"/>
      <c r="U1" s="99"/>
      <c r="V1" s="99"/>
    </row>
    <row r="5" spans="2:22" x14ac:dyDescent="0.3">
      <c r="B5" s="1" t="s">
        <v>341</v>
      </c>
      <c r="C5" s="1" t="s">
        <v>342</v>
      </c>
      <c r="D5" s="1" t="s">
        <v>343</v>
      </c>
      <c r="E5" s="1" t="s">
        <v>344</v>
      </c>
      <c r="F5" s="1" t="s">
        <v>345</v>
      </c>
      <c r="G5" s="1" t="s">
        <v>346</v>
      </c>
      <c r="H5" s="1" t="s">
        <v>347</v>
      </c>
      <c r="I5" s="1" t="s">
        <v>348</v>
      </c>
      <c r="J5" s="1" t="s">
        <v>349</v>
      </c>
      <c r="K5" s="1" t="s">
        <v>350</v>
      </c>
      <c r="L5" s="1" t="s">
        <v>351</v>
      </c>
      <c r="M5" s="1" t="s">
        <v>352</v>
      </c>
    </row>
    <row r="7" spans="2:22" ht="15" thickBot="1" x14ac:dyDescent="0.35">
      <c r="B7" s="25" t="s">
        <v>353</v>
      </c>
      <c r="C7" s="25" t="s">
        <v>353</v>
      </c>
      <c r="D7" s="26">
        <f t="shared" ref="D7:M7" si="0">MEDIAN(D8:D25)</f>
        <v>1844.5583224087391</v>
      </c>
      <c r="E7" s="26">
        <f t="shared" si="0"/>
        <v>3688.7691415476024</v>
      </c>
      <c r="F7" s="98">
        <f t="shared" si="0"/>
        <v>10.692503575057458</v>
      </c>
      <c r="G7" s="98">
        <f t="shared" si="0"/>
        <v>12.320063598509368</v>
      </c>
      <c r="H7" s="98">
        <f t="shared" si="0"/>
        <v>10.580779758440054</v>
      </c>
      <c r="I7" s="98">
        <f t="shared" si="0"/>
        <v>29.001205046229618</v>
      </c>
      <c r="J7" s="98">
        <f t="shared" si="0"/>
        <v>22.169902073103984</v>
      </c>
      <c r="K7" s="98">
        <f t="shared" si="0"/>
        <v>18.137386769982115</v>
      </c>
      <c r="L7" s="98">
        <f t="shared" si="0"/>
        <v>20.470899041059653</v>
      </c>
      <c r="M7" s="98">
        <f t="shared" si="0"/>
        <v>1.7596782002993239</v>
      </c>
    </row>
    <row r="8" spans="2:22" x14ac:dyDescent="0.3">
      <c r="B8" s="6" t="s">
        <v>354</v>
      </c>
      <c r="C8" s="6" t="s">
        <v>355</v>
      </c>
      <c r="D8" s="21">
        <v>1603.6577185200001</v>
      </c>
      <c r="E8" s="21">
        <v>1511.66071852</v>
      </c>
      <c r="F8" s="36">
        <v>8.8189762471267716</v>
      </c>
      <c r="G8" s="36">
        <v>11.628159373230769</v>
      </c>
      <c r="H8" s="36">
        <v>8.89212187364706</v>
      </c>
      <c r="I8" s="36">
        <v>21.483576587486954</v>
      </c>
      <c r="J8" s="36">
        <v>22.788235294117648</v>
      </c>
      <c r="K8" s="36">
        <v>18.077461502566493</v>
      </c>
      <c r="L8" s="36">
        <v>27.725336522726213</v>
      </c>
      <c r="M8" s="36" t="s">
        <v>356</v>
      </c>
    </row>
    <row r="9" spans="2:22" x14ac:dyDescent="0.3">
      <c r="B9" s="4" t="s">
        <v>381</v>
      </c>
      <c r="C9" s="4" t="s">
        <v>382</v>
      </c>
      <c r="D9" s="17">
        <v>34.91294912</v>
      </c>
      <c r="E9" s="17">
        <v>19.130547120000003</v>
      </c>
      <c r="F9" s="34" t="s">
        <v>356</v>
      </c>
      <c r="G9" s="34" t="s">
        <v>356</v>
      </c>
      <c r="H9" s="34" t="s">
        <v>356</v>
      </c>
      <c r="I9" s="34">
        <v>0.3005722962967538</v>
      </c>
      <c r="J9" s="34" t="s">
        <v>356</v>
      </c>
      <c r="K9" s="34" t="s">
        <v>356</v>
      </c>
      <c r="L9" s="34">
        <v>9.8791232574701654E-2</v>
      </c>
      <c r="M9" s="34">
        <v>1299.1071598870412</v>
      </c>
    </row>
    <row r="10" spans="2:22" x14ac:dyDescent="0.3">
      <c r="B10" s="4" t="s">
        <v>383</v>
      </c>
      <c r="C10" s="4" t="s">
        <v>384</v>
      </c>
      <c r="D10" s="17">
        <v>73.409465999999995</v>
      </c>
      <c r="E10" s="17">
        <v>13.533465999999997</v>
      </c>
      <c r="F10" s="34">
        <v>5.3513111901937442</v>
      </c>
      <c r="G10" s="34" t="s">
        <v>356</v>
      </c>
      <c r="H10" s="34" t="s">
        <v>356</v>
      </c>
      <c r="I10" s="34">
        <v>56.819214466301347</v>
      </c>
      <c r="J10" s="34" t="s">
        <v>356</v>
      </c>
      <c r="K10" s="34" t="s">
        <v>356</v>
      </c>
      <c r="L10" s="34" t="s">
        <v>356</v>
      </c>
      <c r="M10" s="34" t="s">
        <v>356</v>
      </c>
    </row>
    <row r="11" spans="2:22" x14ac:dyDescent="0.3">
      <c r="B11" s="4" t="s">
        <v>385</v>
      </c>
      <c r="C11" s="4" t="s">
        <v>386</v>
      </c>
      <c r="D11" s="17">
        <v>157.84080639441981</v>
      </c>
      <c r="E11" s="17">
        <v>148.22725649912056</v>
      </c>
      <c r="F11" s="34" t="s">
        <v>356</v>
      </c>
      <c r="G11" s="34" t="s">
        <v>356</v>
      </c>
      <c r="H11" s="34" t="s">
        <v>356</v>
      </c>
      <c r="I11" s="34" t="s">
        <v>356</v>
      </c>
      <c r="J11" s="34" t="s">
        <v>356</v>
      </c>
      <c r="K11" s="34" t="s">
        <v>356</v>
      </c>
      <c r="L11" s="34" t="s">
        <v>356</v>
      </c>
      <c r="M11" s="34" t="s">
        <v>356</v>
      </c>
    </row>
    <row r="12" spans="2:22" x14ac:dyDescent="0.3">
      <c r="B12" s="4" t="s">
        <v>387</v>
      </c>
      <c r="C12" s="4" t="s">
        <v>388</v>
      </c>
      <c r="D12" s="17">
        <v>86899.160931659426</v>
      </c>
      <c r="E12" s="17">
        <v>110736.61021391078</v>
      </c>
      <c r="F12" s="34">
        <v>7.8136965425659675</v>
      </c>
      <c r="G12" s="34">
        <v>8.0161926700004233</v>
      </c>
      <c r="H12" s="34">
        <v>8.1618597924538587</v>
      </c>
      <c r="I12" s="34">
        <v>28.09623430962343</v>
      </c>
      <c r="J12" s="34">
        <v>12.088208820882087</v>
      </c>
      <c r="K12" s="34">
        <v>12.435185185185183</v>
      </c>
      <c r="L12" s="34">
        <v>13.802009390329916</v>
      </c>
      <c r="M12" s="34">
        <v>5.9568131049888313</v>
      </c>
    </row>
    <row r="13" spans="2:22" x14ac:dyDescent="0.3">
      <c r="B13" s="4" t="s">
        <v>389</v>
      </c>
      <c r="C13" s="4" t="s">
        <v>390</v>
      </c>
      <c r="D13" s="17">
        <v>385.07557351999998</v>
      </c>
      <c r="E13" s="17">
        <v>422.99284351999995</v>
      </c>
      <c r="F13" s="34" t="s">
        <v>356</v>
      </c>
      <c r="G13" s="34" t="s">
        <v>356</v>
      </c>
      <c r="H13" s="34" t="s">
        <v>356</v>
      </c>
      <c r="I13" s="34" t="s">
        <v>356</v>
      </c>
      <c r="J13" s="34" t="s">
        <v>356</v>
      </c>
      <c r="K13" s="34" t="s">
        <v>356</v>
      </c>
      <c r="L13" s="34" t="s">
        <v>356</v>
      </c>
      <c r="M13" s="34" t="s">
        <v>356</v>
      </c>
    </row>
    <row r="14" spans="2:22" x14ac:dyDescent="0.3">
      <c r="B14" s="4" t="s">
        <v>357</v>
      </c>
      <c r="C14" s="4" t="s">
        <v>358</v>
      </c>
      <c r="D14" s="17">
        <v>4915.2808444349585</v>
      </c>
      <c r="E14" s="17">
        <v>31451.974148844591</v>
      </c>
      <c r="F14" s="34">
        <v>9.2223710265202286</v>
      </c>
      <c r="G14" s="34">
        <v>8.9139480072680506</v>
      </c>
      <c r="H14" s="34">
        <v>9.5324408908604301</v>
      </c>
      <c r="I14" s="34" t="s">
        <v>356</v>
      </c>
      <c r="J14" s="34">
        <v>3.806241819366742</v>
      </c>
      <c r="K14" s="34">
        <v>4.0226285060845779</v>
      </c>
      <c r="L14" s="34">
        <v>2.3345251418476978</v>
      </c>
      <c r="M14" s="34" t="s">
        <v>356</v>
      </c>
    </row>
    <row r="15" spans="2:22" x14ac:dyDescent="0.3">
      <c r="B15" s="4" t="s">
        <v>359</v>
      </c>
      <c r="C15" s="4" t="s">
        <v>360</v>
      </c>
      <c r="D15" s="17">
        <v>44166.883864688993</v>
      </c>
      <c r="E15" s="17">
        <v>64579.715754862154</v>
      </c>
      <c r="F15" s="34">
        <v>9.9943846345892897</v>
      </c>
      <c r="G15" s="34">
        <v>10.055289662260696</v>
      </c>
      <c r="H15" s="34">
        <v>9.4155215300249235</v>
      </c>
      <c r="I15" s="34">
        <v>27.02687222222222</v>
      </c>
      <c r="J15" s="34">
        <v>9.7215449449523224</v>
      </c>
      <c r="K15" s="34">
        <v>9.1111011667781838</v>
      </c>
      <c r="L15" s="34">
        <v>14.307847260592894</v>
      </c>
      <c r="M15" s="34">
        <v>0.66278754454988265</v>
      </c>
    </row>
    <row r="16" spans="2:22" x14ac:dyDescent="0.3">
      <c r="B16" s="4" t="s">
        <v>361</v>
      </c>
      <c r="C16" s="4" t="s">
        <v>362</v>
      </c>
      <c r="D16" s="17">
        <v>1519.3406728309358</v>
      </c>
      <c r="E16" s="17">
        <v>1599.369274097824</v>
      </c>
      <c r="F16" s="34">
        <v>25.072534243902435</v>
      </c>
      <c r="G16" s="34">
        <v>40.253505785609391</v>
      </c>
      <c r="H16" s="34">
        <v>23.133027375527423</v>
      </c>
      <c r="I16" s="34">
        <v>127.97597237843078</v>
      </c>
      <c r="J16" s="34" t="s">
        <v>356</v>
      </c>
      <c r="K16" s="34">
        <v>62.153449387491939</v>
      </c>
      <c r="L16" s="34" t="s">
        <v>356</v>
      </c>
      <c r="M16" s="34">
        <v>0.52002080083203328</v>
      </c>
    </row>
    <row r="17" spans="2:13" x14ac:dyDescent="0.3">
      <c r="B17" s="4" t="s">
        <v>363</v>
      </c>
      <c r="C17" s="4" t="s">
        <v>364</v>
      </c>
      <c r="D17" s="17">
        <v>1734.8516203374779</v>
      </c>
      <c r="E17" s="17">
        <v>1764.5609551979999</v>
      </c>
      <c r="F17" s="34">
        <v>11.390622515525624</v>
      </c>
      <c r="G17" s="34">
        <v>10.571921522222221</v>
      </c>
      <c r="H17" s="34">
        <v>7.8820185002821734</v>
      </c>
      <c r="I17" s="34" t="s">
        <v>356</v>
      </c>
      <c r="J17" s="34" t="s">
        <v>356</v>
      </c>
      <c r="K17" s="34">
        <v>28.300653594771244</v>
      </c>
      <c r="L17" s="34" t="s">
        <v>356</v>
      </c>
      <c r="M17" s="34">
        <v>2.1939953535313421</v>
      </c>
    </row>
    <row r="18" spans="2:13" x14ac:dyDescent="0.3">
      <c r="B18" s="4" t="s">
        <v>365</v>
      </c>
      <c r="C18" s="4" t="s">
        <v>366</v>
      </c>
      <c r="D18" s="17">
        <v>1324.12196324</v>
      </c>
      <c r="E18" s="17">
        <v>8990.578963240001</v>
      </c>
      <c r="F18" s="34">
        <v>5.1713415478398819</v>
      </c>
      <c r="G18" s="34">
        <v>5.946641728476231</v>
      </c>
      <c r="H18" s="34">
        <v>6.699388199135619</v>
      </c>
      <c r="I18" s="34">
        <v>5.572800062718553</v>
      </c>
      <c r="J18" s="34">
        <v>1.6685424873382102</v>
      </c>
      <c r="K18" s="34">
        <v>1.9746919746919744</v>
      </c>
      <c r="L18" s="34">
        <v>7.9853582627675204</v>
      </c>
      <c r="M18" s="34" t="s">
        <v>356</v>
      </c>
    </row>
    <row r="19" spans="2:13" x14ac:dyDescent="0.3">
      <c r="B19" s="4" t="s">
        <v>367</v>
      </c>
      <c r="C19" s="4" t="s">
        <v>368</v>
      </c>
      <c r="D19" s="17">
        <v>4014.7629083630586</v>
      </c>
      <c r="E19" s="17">
        <v>3863.9056558365373</v>
      </c>
      <c r="F19" s="34">
        <v>20.088716295856525</v>
      </c>
      <c r="G19" s="34">
        <v>16.242888491727157</v>
      </c>
      <c r="H19" s="34">
        <v>11.629118626019677</v>
      </c>
      <c r="I19" s="34">
        <v>38.566979143849785</v>
      </c>
      <c r="J19" s="34">
        <v>22.278207666006836</v>
      </c>
      <c r="K19" s="34">
        <v>15.073663703884083</v>
      </c>
      <c r="L19" s="34">
        <v>31.506584917605693</v>
      </c>
      <c r="M19" s="34" t="s">
        <v>356</v>
      </c>
    </row>
    <row r="20" spans="2:13" x14ac:dyDescent="0.3">
      <c r="B20" s="4" t="s">
        <v>369</v>
      </c>
      <c r="C20" s="4" t="s">
        <v>370</v>
      </c>
      <c r="D20" s="17">
        <v>9635.898426218715</v>
      </c>
      <c r="E20" s="17">
        <v>10019.43871239</v>
      </c>
      <c r="F20" s="34" t="s">
        <v>356</v>
      </c>
      <c r="G20" s="34">
        <v>18.986094504417604</v>
      </c>
      <c r="H20" s="34">
        <v>17.264296615384616</v>
      </c>
      <c r="I20" s="34">
        <v>29.906175782835806</v>
      </c>
      <c r="J20" s="34">
        <v>28.475304223335719</v>
      </c>
      <c r="K20" s="34">
        <v>26.017004578155657</v>
      </c>
      <c r="L20" s="34">
        <v>30.423458578163498</v>
      </c>
      <c r="M20" s="34">
        <v>1.7596782002993239</v>
      </c>
    </row>
    <row r="21" spans="2:13" x14ac:dyDescent="0.3">
      <c r="B21" s="4" t="s">
        <v>371</v>
      </c>
      <c r="C21" s="4" t="s">
        <v>372</v>
      </c>
      <c r="D21" s="17">
        <v>11568.195192217407</v>
      </c>
      <c r="E21" s="17">
        <v>11413.642272990723</v>
      </c>
      <c r="F21" s="34">
        <v>15.028233202501537</v>
      </c>
      <c r="G21" s="34">
        <v>13.011967823787964</v>
      </c>
      <c r="H21" s="34">
        <v>11.863498434541922</v>
      </c>
      <c r="I21" s="34">
        <v>37.0734139094277</v>
      </c>
      <c r="J21" s="34">
        <v>22.32244190908548</v>
      </c>
      <c r="K21" s="34">
        <v>18.19731203739774</v>
      </c>
      <c r="L21" s="34" t="s">
        <v>356</v>
      </c>
      <c r="M21" s="34">
        <v>0.65701261670252498</v>
      </c>
    </row>
    <row r="22" spans="2:13" x14ac:dyDescent="0.3">
      <c r="B22" s="4" t="s">
        <v>373</v>
      </c>
      <c r="C22" s="4" t="s">
        <v>374</v>
      </c>
      <c r="D22" s="17">
        <v>5747.7546030221602</v>
      </c>
      <c r="E22" s="17">
        <v>5771.5869797465248</v>
      </c>
      <c r="F22" s="34">
        <v>15.564165627687501</v>
      </c>
      <c r="G22" s="34">
        <v>15.16143988085236</v>
      </c>
      <c r="H22" s="34">
        <v>14.320106385451409</v>
      </c>
      <c r="I22" s="34">
        <v>22.645160305884577</v>
      </c>
      <c r="J22" s="34">
        <v>22.061596480201132</v>
      </c>
      <c r="K22" s="34">
        <v>20.683559222156749</v>
      </c>
      <c r="L22" s="34">
        <v>26.633950821526412</v>
      </c>
      <c r="M22" s="34">
        <v>4.4184719279255535</v>
      </c>
    </row>
    <row r="23" spans="2:13" x14ac:dyDescent="0.3">
      <c r="B23" s="4" t="s">
        <v>375</v>
      </c>
      <c r="C23" s="4" t="s">
        <v>376</v>
      </c>
      <c r="D23" s="17">
        <v>1954.26502448</v>
      </c>
      <c r="E23" s="17">
        <v>7481.9650244799996</v>
      </c>
      <c r="F23" s="34">
        <v>5.3572712476585993</v>
      </c>
      <c r="G23" s="34">
        <v>5.6627928283670759</v>
      </c>
      <c r="H23" s="34">
        <v>5.4067550967540523</v>
      </c>
      <c r="I23" s="34">
        <v>6.2932388242914516</v>
      </c>
      <c r="J23" s="34">
        <v>2.7907299472661666</v>
      </c>
      <c r="K23" s="34">
        <v>2.5513828977416897</v>
      </c>
      <c r="L23" s="34">
        <v>1.5379870623452909</v>
      </c>
      <c r="M23" s="34" t="s">
        <v>356</v>
      </c>
    </row>
    <row r="24" spans="2:13" x14ac:dyDescent="0.3">
      <c r="B24" s="4" t="s">
        <v>377</v>
      </c>
      <c r="C24" s="4" t="s">
        <v>378</v>
      </c>
      <c r="D24" s="17">
        <v>937.64386927015835</v>
      </c>
      <c r="E24" s="17">
        <v>932.31646190000004</v>
      </c>
      <c r="F24" s="34">
        <v>20.441940237829051</v>
      </c>
      <c r="G24" s="34">
        <v>25.073645826840373</v>
      </c>
      <c r="H24" s="34">
        <v>20.293948490275714</v>
      </c>
      <c r="I24" s="34">
        <v>33.729167779286705</v>
      </c>
      <c r="J24" s="34">
        <v>43.404825737265419</v>
      </c>
      <c r="K24" s="34">
        <v>31.498054474708173</v>
      </c>
      <c r="L24" s="34">
        <v>51.052860061258045</v>
      </c>
      <c r="M24" s="34">
        <v>1.1303273522610866</v>
      </c>
    </row>
    <row r="25" spans="2:13" x14ac:dyDescent="0.3">
      <c r="B25" s="4" t="s">
        <v>379</v>
      </c>
      <c r="C25" s="4" t="s">
        <v>380</v>
      </c>
      <c r="D25" s="17">
        <v>3705.5621746036618</v>
      </c>
      <c r="E25" s="17">
        <v>3513.6326272586675</v>
      </c>
      <c r="F25" s="34">
        <v>18.888197125479063</v>
      </c>
      <c r="G25" s="34">
        <v>17.154154392914922</v>
      </c>
      <c r="H25" s="34">
        <v>14.342554134493088</v>
      </c>
      <c r="I25" s="34">
        <v>83.061777909441005</v>
      </c>
      <c r="J25" s="34">
        <v>24.795918367346939</v>
      </c>
      <c r="K25" s="34">
        <v>21.891891891891891</v>
      </c>
      <c r="L25" s="34">
        <v>42.866124376323654</v>
      </c>
      <c r="M25" s="34" t="s">
        <v>356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0D885-A2D9-49D3-B460-59DB45F3AD70}">
  <dimension ref="A3:T311"/>
  <sheetViews>
    <sheetView topLeftCell="P43" workbookViewId="0">
      <selection activeCell="R62" sqref="R62"/>
    </sheetView>
  </sheetViews>
  <sheetFormatPr defaultRowHeight="14.4" x14ac:dyDescent="0.3"/>
  <cols>
    <col min="19" max="19" width="20.6640625" bestFit="1" customWidth="1"/>
    <col min="20" max="20" width="82.5546875" style="107" customWidth="1"/>
  </cols>
  <sheetData>
    <row r="3" spans="1:16" x14ac:dyDescent="0.3">
      <c r="A3" t="s">
        <v>401</v>
      </c>
      <c r="J3" t="s">
        <v>402</v>
      </c>
    </row>
    <row r="4" spans="1:16" ht="15" thickBot="1" x14ac:dyDescent="0.35">
      <c r="A4" s="100" t="s">
        <v>393</v>
      </c>
      <c r="B4" s="101" t="s">
        <v>394</v>
      </c>
      <c r="C4" s="101" t="s">
        <v>395</v>
      </c>
      <c r="D4" s="101" t="s">
        <v>396</v>
      </c>
      <c r="E4" s="101" t="s">
        <v>397</v>
      </c>
      <c r="F4" s="101" t="s">
        <v>398</v>
      </c>
      <c r="G4" s="101" t="s">
        <v>399</v>
      </c>
      <c r="J4" s="100" t="s">
        <v>393</v>
      </c>
      <c r="K4" s="101" t="s">
        <v>394</v>
      </c>
      <c r="L4" s="101" t="s">
        <v>395</v>
      </c>
      <c r="M4" s="101" t="s">
        <v>396</v>
      </c>
      <c r="N4" s="101" t="s">
        <v>397</v>
      </c>
      <c r="O4" s="101" t="s">
        <v>398</v>
      </c>
      <c r="P4" s="101" t="s">
        <v>399</v>
      </c>
    </row>
    <row r="5" spans="1:16" ht="15" thickBot="1" x14ac:dyDescent="0.35">
      <c r="A5" s="102">
        <v>43043</v>
      </c>
      <c r="B5" s="103">
        <v>43.49</v>
      </c>
      <c r="C5" s="103">
        <v>43.94</v>
      </c>
      <c r="D5" s="103">
        <v>38.130000000000003</v>
      </c>
      <c r="E5" s="103">
        <v>40.57</v>
      </c>
      <c r="F5" s="103">
        <v>40.57</v>
      </c>
      <c r="G5" s="104">
        <v>2060700</v>
      </c>
      <c r="J5" s="102">
        <v>43043</v>
      </c>
      <c r="K5" s="105">
        <v>5027.2</v>
      </c>
      <c r="L5" s="105">
        <v>5045.78</v>
      </c>
      <c r="M5" s="105">
        <v>4987.46</v>
      </c>
      <c r="N5" s="105">
        <v>5023.01</v>
      </c>
      <c r="O5" s="105">
        <v>5023.01</v>
      </c>
      <c r="P5" s="103" t="s">
        <v>400</v>
      </c>
    </row>
    <row r="6" spans="1:16" ht="15" thickBot="1" x14ac:dyDescent="0.35">
      <c r="A6" s="102">
        <v>43036</v>
      </c>
      <c r="B6" s="103">
        <v>40.76</v>
      </c>
      <c r="C6" s="103">
        <v>44.86</v>
      </c>
      <c r="D6" s="103">
        <v>39.79</v>
      </c>
      <c r="E6" s="103">
        <v>43.03</v>
      </c>
      <c r="F6" s="103">
        <v>43.03</v>
      </c>
      <c r="G6" s="104">
        <v>2763500</v>
      </c>
      <c r="J6" s="102">
        <v>43036</v>
      </c>
      <c r="K6" s="105">
        <v>5006.7</v>
      </c>
      <c r="L6" s="105">
        <v>5028.62</v>
      </c>
      <c r="M6" s="105">
        <v>4985.05</v>
      </c>
      <c r="N6" s="105">
        <v>5027.49</v>
      </c>
      <c r="O6" s="105">
        <v>5027.49</v>
      </c>
      <c r="P6" s="103" t="s">
        <v>400</v>
      </c>
    </row>
    <row r="7" spans="1:16" ht="15" thickBot="1" x14ac:dyDescent="0.35">
      <c r="A7" s="102">
        <v>43029</v>
      </c>
      <c r="B7" s="103">
        <v>40.590000000000003</v>
      </c>
      <c r="C7" s="103">
        <v>40.67</v>
      </c>
      <c r="D7" s="103">
        <v>39.79</v>
      </c>
      <c r="E7" s="103">
        <v>40.6</v>
      </c>
      <c r="F7" s="103">
        <v>40.6</v>
      </c>
      <c r="G7" s="104">
        <v>1091400</v>
      </c>
      <c r="J7" s="102">
        <v>43029</v>
      </c>
      <c r="K7" s="105">
        <v>5006.8</v>
      </c>
      <c r="L7" s="105">
        <v>5016.43</v>
      </c>
      <c r="M7" s="105">
        <v>4940.76</v>
      </c>
      <c r="N7" s="105">
        <v>5012.75</v>
      </c>
      <c r="O7" s="105">
        <v>5012.75</v>
      </c>
      <c r="P7" s="103" t="s">
        <v>400</v>
      </c>
    </row>
    <row r="8" spans="1:16" ht="15" thickBot="1" x14ac:dyDescent="0.35">
      <c r="A8" s="102">
        <v>43022</v>
      </c>
      <c r="B8" s="103">
        <v>40.520000000000003</v>
      </c>
      <c r="C8" s="103">
        <v>41.13</v>
      </c>
      <c r="D8" s="103">
        <v>39.54</v>
      </c>
      <c r="E8" s="103">
        <v>40.58</v>
      </c>
      <c r="F8" s="103">
        <v>40.58</v>
      </c>
      <c r="G8" s="104">
        <v>1097700</v>
      </c>
      <c r="J8" s="102">
        <v>43022</v>
      </c>
      <c r="K8" s="105">
        <v>4962.03</v>
      </c>
      <c r="L8" s="105">
        <v>5001.5600000000004</v>
      </c>
      <c r="M8" s="105">
        <v>4947.8900000000003</v>
      </c>
      <c r="N8" s="105">
        <v>5001.1099999999997</v>
      </c>
      <c r="O8" s="105">
        <v>5001.1099999999997</v>
      </c>
      <c r="P8" s="103" t="s">
        <v>400</v>
      </c>
    </row>
    <row r="9" spans="1:16" ht="15" thickBot="1" x14ac:dyDescent="0.35">
      <c r="A9" s="102">
        <v>43015</v>
      </c>
      <c r="B9" s="103">
        <v>40.5</v>
      </c>
      <c r="C9" s="103">
        <v>40.74</v>
      </c>
      <c r="D9" s="103">
        <v>39.69</v>
      </c>
      <c r="E9" s="103">
        <v>40.31</v>
      </c>
      <c r="F9" s="103">
        <v>40.31</v>
      </c>
      <c r="G9" s="104">
        <v>1388700</v>
      </c>
      <c r="J9" s="102">
        <v>43015</v>
      </c>
      <c r="K9" s="105">
        <v>4953.09</v>
      </c>
      <c r="L9" s="105">
        <v>4965.92</v>
      </c>
      <c r="M9" s="105">
        <v>4934.12</v>
      </c>
      <c r="N9" s="105">
        <v>4957.2700000000004</v>
      </c>
      <c r="O9" s="105">
        <v>4957.2700000000004</v>
      </c>
      <c r="P9" s="103" t="s">
        <v>400</v>
      </c>
    </row>
    <row r="10" spans="1:16" ht="15" thickBot="1" x14ac:dyDescent="0.35">
      <c r="A10" s="102">
        <v>43008</v>
      </c>
      <c r="B10" s="103">
        <v>40.47</v>
      </c>
      <c r="C10" s="103">
        <v>41.46</v>
      </c>
      <c r="D10" s="103">
        <v>40.25</v>
      </c>
      <c r="E10" s="103">
        <v>40.5</v>
      </c>
      <c r="F10" s="103">
        <v>40.5</v>
      </c>
      <c r="G10" s="104">
        <v>1376400</v>
      </c>
      <c r="J10" s="102">
        <v>43008</v>
      </c>
      <c r="K10" s="105">
        <v>4891.5600000000004</v>
      </c>
      <c r="L10" s="105">
        <v>4953.6499999999996</v>
      </c>
      <c r="M10" s="105">
        <v>4890.03</v>
      </c>
      <c r="N10" s="105">
        <v>4949.09</v>
      </c>
      <c r="O10" s="105">
        <v>4949.09</v>
      </c>
      <c r="P10" s="103" t="s">
        <v>400</v>
      </c>
    </row>
    <row r="11" spans="1:16" ht="15" thickBot="1" x14ac:dyDescent="0.35">
      <c r="A11" s="102">
        <v>43001</v>
      </c>
      <c r="B11" s="103">
        <v>38.6</v>
      </c>
      <c r="C11" s="103">
        <v>40.6</v>
      </c>
      <c r="D11" s="103">
        <v>38.24</v>
      </c>
      <c r="E11" s="103">
        <v>40.450000000000003</v>
      </c>
      <c r="F11" s="103">
        <v>40.450000000000003</v>
      </c>
      <c r="G11" s="104">
        <v>1403400</v>
      </c>
      <c r="J11" s="102">
        <v>43001</v>
      </c>
      <c r="K11" s="105">
        <v>4847.71</v>
      </c>
      <c r="L11" s="105">
        <v>4888</v>
      </c>
      <c r="M11" s="105">
        <v>4825.66</v>
      </c>
      <c r="N11" s="105">
        <v>4887.97</v>
      </c>
      <c r="O11" s="105">
        <v>4887.97</v>
      </c>
      <c r="P11" s="103" t="s">
        <v>400</v>
      </c>
    </row>
    <row r="12" spans="1:16" ht="15" thickBot="1" x14ac:dyDescent="0.35">
      <c r="A12" s="102">
        <v>42994</v>
      </c>
      <c r="B12" s="103">
        <v>38.31</v>
      </c>
      <c r="C12" s="103">
        <v>38.520000000000003</v>
      </c>
      <c r="D12" s="103">
        <v>37</v>
      </c>
      <c r="E12" s="103">
        <v>38.340000000000003</v>
      </c>
      <c r="F12" s="103">
        <v>38.340000000000003</v>
      </c>
      <c r="G12" s="104">
        <v>1160700</v>
      </c>
      <c r="J12" s="102">
        <v>42994</v>
      </c>
      <c r="K12" s="105">
        <v>4853.4399999999996</v>
      </c>
      <c r="L12" s="105">
        <v>4865.8</v>
      </c>
      <c r="M12" s="105">
        <v>4842.1899999999996</v>
      </c>
      <c r="N12" s="105">
        <v>4853.2</v>
      </c>
      <c r="O12" s="105">
        <v>4853.2</v>
      </c>
      <c r="P12" s="103" t="s">
        <v>400</v>
      </c>
    </row>
    <row r="13" spans="1:16" ht="15" thickBot="1" x14ac:dyDescent="0.35">
      <c r="A13" s="102">
        <v>42987</v>
      </c>
      <c r="B13" s="103">
        <v>38</v>
      </c>
      <c r="C13" s="103">
        <v>38.74</v>
      </c>
      <c r="D13" s="103">
        <v>37.29</v>
      </c>
      <c r="E13" s="103">
        <v>38.06</v>
      </c>
      <c r="F13" s="103">
        <v>38.06</v>
      </c>
      <c r="G13" s="104">
        <v>1539900</v>
      </c>
      <c r="J13" s="102">
        <v>42987</v>
      </c>
      <c r="K13" s="105">
        <v>4796.46</v>
      </c>
      <c r="L13" s="105">
        <v>4848.84</v>
      </c>
      <c r="M13" s="105">
        <v>4796.46</v>
      </c>
      <c r="N13" s="105">
        <v>4848.84</v>
      </c>
      <c r="O13" s="105">
        <v>4848.84</v>
      </c>
      <c r="P13" s="103" t="s">
        <v>400</v>
      </c>
    </row>
    <row r="14" spans="1:16" ht="15" thickBot="1" x14ac:dyDescent="0.35">
      <c r="A14" s="102">
        <v>42980</v>
      </c>
      <c r="B14" s="103">
        <v>36.9</v>
      </c>
      <c r="C14" s="103">
        <v>37.979999999999997</v>
      </c>
      <c r="D14" s="103">
        <v>35.64</v>
      </c>
      <c r="E14" s="103">
        <v>37.64</v>
      </c>
      <c r="F14" s="103">
        <v>37.64</v>
      </c>
      <c r="G14" s="104">
        <v>1029500</v>
      </c>
      <c r="J14" s="102">
        <v>42980</v>
      </c>
      <c r="K14" s="105">
        <v>4786.97</v>
      </c>
      <c r="L14" s="105">
        <v>4790.1000000000004</v>
      </c>
      <c r="M14" s="105">
        <v>4741.05</v>
      </c>
      <c r="N14" s="105">
        <v>4771.0200000000004</v>
      </c>
      <c r="O14" s="105">
        <v>4771.0200000000004</v>
      </c>
      <c r="P14" s="103" t="s">
        <v>400</v>
      </c>
    </row>
    <row r="15" spans="1:16" ht="15" thickBot="1" x14ac:dyDescent="0.35">
      <c r="A15" s="102">
        <v>42973</v>
      </c>
      <c r="B15" s="103">
        <v>36.03</v>
      </c>
      <c r="C15" s="103">
        <v>37.5</v>
      </c>
      <c r="D15" s="103">
        <v>35.770000000000003</v>
      </c>
      <c r="E15" s="103">
        <v>37.049999999999997</v>
      </c>
      <c r="F15" s="103">
        <v>37.049999999999997</v>
      </c>
      <c r="G15" s="104">
        <v>1332100</v>
      </c>
      <c r="J15" s="102">
        <v>42973</v>
      </c>
      <c r="K15" s="105">
        <v>4740</v>
      </c>
      <c r="L15" s="105">
        <v>4806.41</v>
      </c>
      <c r="M15" s="105">
        <v>4703.58</v>
      </c>
      <c r="N15" s="105">
        <v>4798.99</v>
      </c>
      <c r="O15" s="105">
        <v>4798.99</v>
      </c>
      <c r="P15" s="103" t="s">
        <v>400</v>
      </c>
    </row>
    <row r="16" spans="1:16" ht="15" thickBot="1" x14ac:dyDescent="0.35">
      <c r="A16" s="102">
        <v>42966</v>
      </c>
      <c r="B16" s="103">
        <v>34.799999999999997</v>
      </c>
      <c r="C16" s="103">
        <v>36.21</v>
      </c>
      <c r="D16" s="103">
        <v>34.56</v>
      </c>
      <c r="E16" s="103">
        <v>35.81</v>
      </c>
      <c r="F16" s="103">
        <v>35.81</v>
      </c>
      <c r="G16" s="104">
        <v>1795200</v>
      </c>
      <c r="J16" s="102">
        <v>42966</v>
      </c>
      <c r="K16" s="105">
        <v>4696.2700000000004</v>
      </c>
      <c r="L16" s="105">
        <v>4753.1099999999997</v>
      </c>
      <c r="M16" s="105">
        <v>4680.53</v>
      </c>
      <c r="N16" s="105">
        <v>4731.46</v>
      </c>
      <c r="O16" s="105">
        <v>4731.46</v>
      </c>
      <c r="P16" s="103" t="s">
        <v>400</v>
      </c>
    </row>
    <row r="17" spans="1:20" ht="15" thickBot="1" x14ac:dyDescent="0.35">
      <c r="A17" s="102">
        <v>42959</v>
      </c>
      <c r="B17" s="103">
        <v>34.85</v>
      </c>
      <c r="C17" s="103">
        <v>36.81</v>
      </c>
      <c r="D17" s="103">
        <v>34.68</v>
      </c>
      <c r="E17" s="103">
        <v>34.82</v>
      </c>
      <c r="F17" s="103">
        <v>34.82</v>
      </c>
      <c r="G17" s="104">
        <v>1105000</v>
      </c>
      <c r="J17" s="102">
        <v>42959</v>
      </c>
      <c r="K17" s="105">
        <v>4750.38</v>
      </c>
      <c r="L17" s="105">
        <v>4791.3999999999996</v>
      </c>
      <c r="M17" s="105">
        <v>4686.84</v>
      </c>
      <c r="N17" s="105">
        <v>4696.22</v>
      </c>
      <c r="O17" s="105">
        <v>4696.22</v>
      </c>
      <c r="P17" s="103" t="s">
        <v>400</v>
      </c>
    </row>
    <row r="18" spans="1:20" ht="15" thickBot="1" x14ac:dyDescent="0.35">
      <c r="A18" s="102">
        <v>42952</v>
      </c>
      <c r="B18" s="103">
        <v>35.15</v>
      </c>
      <c r="C18" s="103">
        <v>36.950000000000003</v>
      </c>
      <c r="D18" s="103">
        <v>32.479999999999997</v>
      </c>
      <c r="E18" s="103">
        <v>34.51</v>
      </c>
      <c r="F18" s="103">
        <v>34.51</v>
      </c>
      <c r="G18" s="104">
        <v>1604700</v>
      </c>
      <c r="J18" s="102">
        <v>42952</v>
      </c>
      <c r="K18" s="105">
        <v>4789.84</v>
      </c>
      <c r="L18" s="105">
        <v>4816.97</v>
      </c>
      <c r="M18" s="105">
        <v>4716.63</v>
      </c>
      <c r="N18" s="105">
        <v>4723.7299999999996</v>
      </c>
      <c r="O18" s="105">
        <v>4723.7299999999996</v>
      </c>
      <c r="P18" s="103" t="s">
        <v>400</v>
      </c>
    </row>
    <row r="19" spans="1:20" ht="15" thickBot="1" x14ac:dyDescent="0.35">
      <c r="A19" s="102">
        <v>42945</v>
      </c>
      <c r="B19" s="103">
        <v>36.479999999999997</v>
      </c>
      <c r="C19" s="103">
        <v>36.81</v>
      </c>
      <c r="D19" s="103">
        <v>33.26</v>
      </c>
      <c r="E19" s="103">
        <v>35.18</v>
      </c>
      <c r="F19" s="103">
        <v>35.18</v>
      </c>
      <c r="G19" s="104">
        <v>2447800</v>
      </c>
      <c r="J19" s="102">
        <v>42945</v>
      </c>
      <c r="K19" s="105">
        <v>4785.46</v>
      </c>
      <c r="L19" s="105">
        <v>4795.2</v>
      </c>
      <c r="M19" s="105">
        <v>4768.28</v>
      </c>
      <c r="N19" s="105">
        <v>4789.1099999999997</v>
      </c>
      <c r="O19" s="105">
        <v>4789.1099999999997</v>
      </c>
      <c r="P19" s="103" t="s">
        <v>400</v>
      </c>
    </row>
    <row r="20" spans="1:20" ht="15" thickBot="1" x14ac:dyDescent="0.35">
      <c r="A20" s="102">
        <v>42938</v>
      </c>
      <c r="B20" s="103">
        <v>35.89</v>
      </c>
      <c r="C20" s="103">
        <v>36.74</v>
      </c>
      <c r="D20" s="103">
        <v>35.450000000000003</v>
      </c>
      <c r="E20" s="103">
        <v>36.409999999999997</v>
      </c>
      <c r="F20" s="103">
        <v>36.409999999999997</v>
      </c>
      <c r="G20" s="104">
        <v>1280800</v>
      </c>
      <c r="J20" s="102">
        <v>42938</v>
      </c>
      <c r="K20" s="105">
        <v>4777.21</v>
      </c>
      <c r="L20" s="105">
        <v>4800.75</v>
      </c>
      <c r="M20" s="105">
        <v>4755.37</v>
      </c>
      <c r="N20" s="105">
        <v>4778.0200000000004</v>
      </c>
      <c r="O20" s="105">
        <v>4778.0200000000004</v>
      </c>
      <c r="P20" s="103" t="s">
        <v>400</v>
      </c>
    </row>
    <row r="21" spans="1:20" ht="15" thickBot="1" x14ac:dyDescent="0.35">
      <c r="A21" s="102">
        <v>42931</v>
      </c>
      <c r="B21" s="103">
        <v>34.47</v>
      </c>
      <c r="C21" s="103">
        <v>36.32</v>
      </c>
      <c r="D21" s="103">
        <v>33.81</v>
      </c>
      <c r="E21" s="103">
        <v>35.909999999999997</v>
      </c>
      <c r="F21" s="103">
        <v>35.909999999999997</v>
      </c>
      <c r="G21" s="104">
        <v>1303200</v>
      </c>
      <c r="J21" s="102">
        <v>42931</v>
      </c>
      <c r="K21" s="105">
        <v>4752.0200000000004</v>
      </c>
      <c r="L21" s="105">
        <v>4787.7700000000004</v>
      </c>
      <c r="M21" s="105">
        <v>4734.53</v>
      </c>
      <c r="N21" s="105">
        <v>4778.07</v>
      </c>
      <c r="O21" s="105">
        <v>4778.07</v>
      </c>
      <c r="P21" s="103" t="s">
        <v>400</v>
      </c>
    </row>
    <row r="22" spans="1:20" ht="15" thickBot="1" x14ac:dyDescent="0.35">
      <c r="A22" s="102">
        <v>42924</v>
      </c>
      <c r="B22" s="103">
        <v>33.909999999999997</v>
      </c>
      <c r="C22" s="103">
        <v>34.9</v>
      </c>
      <c r="D22" s="103">
        <v>33.369999999999997</v>
      </c>
      <c r="E22" s="103">
        <v>34.5</v>
      </c>
      <c r="F22" s="103">
        <v>34.5</v>
      </c>
      <c r="G22" s="104">
        <v>1099600</v>
      </c>
      <c r="J22" s="102">
        <v>42924</v>
      </c>
      <c r="K22" s="105">
        <v>4683.59</v>
      </c>
      <c r="L22" s="105">
        <v>4759.55</v>
      </c>
      <c r="M22" s="105">
        <v>4661.1400000000003</v>
      </c>
      <c r="N22" s="105">
        <v>4751.43</v>
      </c>
      <c r="O22" s="105">
        <v>4751.43</v>
      </c>
      <c r="P22" s="103" t="s">
        <v>400</v>
      </c>
    </row>
    <row r="23" spans="1:20" ht="15" thickBot="1" x14ac:dyDescent="0.35">
      <c r="A23" s="102">
        <v>42917</v>
      </c>
      <c r="B23" s="103">
        <v>34.01</v>
      </c>
      <c r="C23" s="103">
        <v>34.32</v>
      </c>
      <c r="D23" s="103">
        <v>33.29</v>
      </c>
      <c r="E23" s="103">
        <v>33.99</v>
      </c>
      <c r="F23" s="103">
        <v>33.99</v>
      </c>
      <c r="G23" s="104">
        <v>476300</v>
      </c>
      <c r="J23" s="102">
        <v>42917</v>
      </c>
      <c r="K23" s="105">
        <v>4694.1899999999996</v>
      </c>
      <c r="L23" s="105">
        <v>4709.16</v>
      </c>
      <c r="M23" s="105">
        <v>4651.21</v>
      </c>
      <c r="N23" s="105">
        <v>4684.88</v>
      </c>
      <c r="O23" s="105">
        <v>4684.88</v>
      </c>
      <c r="P23" s="103" t="s">
        <v>400</v>
      </c>
      <c r="S23" s="108" t="s">
        <v>418</v>
      </c>
      <c r="T23" s="109" t="s">
        <v>420</v>
      </c>
    </row>
    <row r="24" spans="1:20" ht="43.8" thickBot="1" x14ac:dyDescent="0.35">
      <c r="A24" s="102">
        <v>42910</v>
      </c>
      <c r="B24" s="103">
        <v>34.86</v>
      </c>
      <c r="C24" s="103">
        <v>34.9</v>
      </c>
      <c r="D24" s="103">
        <v>32.92</v>
      </c>
      <c r="E24" s="103">
        <v>33.909999999999997</v>
      </c>
      <c r="F24" s="103">
        <v>33.909999999999997</v>
      </c>
      <c r="G24" s="104">
        <v>1268200</v>
      </c>
      <c r="J24" s="102">
        <v>42910</v>
      </c>
      <c r="K24" s="105">
        <v>4715.47</v>
      </c>
      <c r="L24" s="105">
        <v>4729.16</v>
      </c>
      <c r="M24" s="105">
        <v>4644.07</v>
      </c>
      <c r="N24" s="105">
        <v>4678.3599999999997</v>
      </c>
      <c r="O24" s="105">
        <v>4678.3599999999997</v>
      </c>
      <c r="P24" s="103" t="s">
        <v>400</v>
      </c>
      <c r="S24" s="110" t="s">
        <v>126</v>
      </c>
      <c r="T24" s="111" t="s">
        <v>422</v>
      </c>
    </row>
    <row r="25" spans="1:20" ht="29.4" thickBot="1" x14ac:dyDescent="0.35">
      <c r="A25" s="102">
        <v>42903</v>
      </c>
      <c r="B25" s="103">
        <v>31.49</v>
      </c>
      <c r="C25" s="103">
        <v>34.75</v>
      </c>
      <c r="D25" s="103">
        <v>31.38</v>
      </c>
      <c r="E25" s="103">
        <v>34.65</v>
      </c>
      <c r="F25" s="103">
        <v>34.65</v>
      </c>
      <c r="G25" s="104">
        <v>1790900</v>
      </c>
      <c r="J25" s="102">
        <v>42903</v>
      </c>
      <c r="K25" s="105">
        <v>4713.43</v>
      </c>
      <c r="L25" s="105">
        <v>4735.1099999999997</v>
      </c>
      <c r="M25" s="105">
        <v>4691.1000000000004</v>
      </c>
      <c r="N25" s="105">
        <v>4705.7299999999996</v>
      </c>
      <c r="O25" s="105">
        <v>4705.7299999999996</v>
      </c>
      <c r="P25" s="103" t="s">
        <v>400</v>
      </c>
      <c r="S25" s="110" t="s">
        <v>132</v>
      </c>
      <c r="T25" s="111" t="s">
        <v>423</v>
      </c>
    </row>
    <row r="26" spans="1:20" ht="43.8" thickBot="1" x14ac:dyDescent="0.35">
      <c r="A26" s="102">
        <v>42896</v>
      </c>
      <c r="B26" s="103">
        <v>31.81</v>
      </c>
      <c r="C26" s="103">
        <v>32.700000000000003</v>
      </c>
      <c r="D26" s="103">
        <v>31.06</v>
      </c>
      <c r="E26" s="103">
        <v>31.45</v>
      </c>
      <c r="F26" s="103">
        <v>31.45</v>
      </c>
      <c r="G26" s="104">
        <v>1661800</v>
      </c>
      <c r="J26" s="102">
        <v>42896</v>
      </c>
      <c r="K26" s="105">
        <v>4678.76</v>
      </c>
      <c r="L26" s="105">
        <v>4714.78</v>
      </c>
      <c r="M26" s="105">
        <v>4667.1000000000004</v>
      </c>
      <c r="N26" s="105">
        <v>4695.2299999999996</v>
      </c>
      <c r="O26" s="105">
        <v>4695.2299999999996</v>
      </c>
      <c r="P26" s="103" t="s">
        <v>400</v>
      </c>
      <c r="S26" s="110" t="s">
        <v>316</v>
      </c>
      <c r="T26" s="111" t="s">
        <v>320</v>
      </c>
    </row>
    <row r="27" spans="1:20" ht="29.4" thickBot="1" x14ac:dyDescent="0.35">
      <c r="A27" s="102">
        <v>42889</v>
      </c>
      <c r="B27" s="103">
        <v>32.22</v>
      </c>
      <c r="C27" s="103">
        <v>32.380000000000003</v>
      </c>
      <c r="D27" s="103">
        <v>31.01</v>
      </c>
      <c r="E27" s="103">
        <v>31.91</v>
      </c>
      <c r="F27" s="103">
        <v>31.91</v>
      </c>
      <c r="G27" s="104">
        <v>1225000</v>
      </c>
      <c r="J27" s="102">
        <v>42889</v>
      </c>
      <c r="K27" s="105">
        <v>4700.3500000000004</v>
      </c>
      <c r="L27" s="105">
        <v>4717.6000000000004</v>
      </c>
      <c r="M27" s="105">
        <v>4660.18</v>
      </c>
      <c r="N27" s="105">
        <v>4689.79</v>
      </c>
      <c r="O27" s="105">
        <v>4689.79</v>
      </c>
      <c r="P27" s="103" t="s">
        <v>400</v>
      </c>
      <c r="S27" s="110" t="s">
        <v>134</v>
      </c>
      <c r="T27" s="111" t="s">
        <v>424</v>
      </c>
    </row>
    <row r="28" spans="1:20" ht="29.4" thickBot="1" x14ac:dyDescent="0.35">
      <c r="A28" s="102">
        <v>42882</v>
      </c>
      <c r="B28" s="103">
        <v>32</v>
      </c>
      <c r="C28" s="103">
        <v>32.880000000000003</v>
      </c>
      <c r="D28" s="103">
        <v>31.73</v>
      </c>
      <c r="E28" s="103">
        <v>32.29</v>
      </c>
      <c r="F28" s="103">
        <v>32.29</v>
      </c>
      <c r="G28" s="104">
        <v>2321700</v>
      </c>
      <c r="J28" s="102">
        <v>42882</v>
      </c>
      <c r="K28" s="105">
        <v>4648.37</v>
      </c>
      <c r="L28" s="105">
        <v>4704.75</v>
      </c>
      <c r="M28" s="105">
        <v>4633.59</v>
      </c>
      <c r="N28" s="105">
        <v>4702.5600000000004</v>
      </c>
      <c r="O28" s="105">
        <v>4702.5600000000004</v>
      </c>
      <c r="P28" s="103" t="s">
        <v>400</v>
      </c>
      <c r="S28" s="110" t="s">
        <v>317</v>
      </c>
      <c r="T28" s="111" t="s">
        <v>321</v>
      </c>
    </row>
    <row r="29" spans="1:20" ht="15" thickBot="1" x14ac:dyDescent="0.35">
      <c r="A29" s="102">
        <v>42875</v>
      </c>
      <c r="B29" s="103">
        <v>29.62</v>
      </c>
      <c r="C29" s="103">
        <v>32.64</v>
      </c>
      <c r="D29" s="103">
        <v>29.15</v>
      </c>
      <c r="E29" s="103">
        <v>32.11</v>
      </c>
      <c r="F29" s="103">
        <v>32.11</v>
      </c>
      <c r="G29" s="104">
        <v>1622300</v>
      </c>
      <c r="J29" s="102">
        <v>42875</v>
      </c>
      <c r="K29" s="105">
        <v>4599</v>
      </c>
      <c r="L29" s="105">
        <v>4660.46</v>
      </c>
      <c r="M29" s="105">
        <v>4598.4399999999996</v>
      </c>
      <c r="N29" s="105">
        <v>4655.6499999999996</v>
      </c>
      <c r="O29" s="105">
        <v>4655.6499999999996</v>
      </c>
      <c r="P29" s="103" t="s">
        <v>400</v>
      </c>
      <c r="S29" s="110" t="s">
        <v>135</v>
      </c>
      <c r="T29" s="111" t="s">
        <v>425</v>
      </c>
    </row>
    <row r="30" spans="1:20" ht="29.4" thickBot="1" x14ac:dyDescent="0.35">
      <c r="A30" s="102">
        <v>42868</v>
      </c>
      <c r="B30" s="103">
        <v>31.47</v>
      </c>
      <c r="C30" s="103">
        <v>31.93</v>
      </c>
      <c r="D30" s="103">
        <v>29.68</v>
      </c>
      <c r="E30" s="103">
        <v>29.74</v>
      </c>
      <c r="F30" s="103">
        <v>29.74</v>
      </c>
      <c r="G30" s="104">
        <v>1273100</v>
      </c>
      <c r="J30" s="102">
        <v>42868</v>
      </c>
      <c r="K30" s="105">
        <v>4609.45</v>
      </c>
      <c r="L30" s="105">
        <v>4632.93</v>
      </c>
      <c r="M30" s="105">
        <v>4532.45</v>
      </c>
      <c r="N30" s="105">
        <v>4588.3500000000004</v>
      </c>
      <c r="O30" s="105">
        <v>4588.3500000000004</v>
      </c>
      <c r="P30" s="103" t="s">
        <v>400</v>
      </c>
      <c r="S30" s="110" t="s">
        <v>138</v>
      </c>
      <c r="T30" s="111" t="s">
        <v>426</v>
      </c>
    </row>
    <row r="31" spans="1:20" ht="15" thickBot="1" x14ac:dyDescent="0.35">
      <c r="A31" s="102">
        <v>42861</v>
      </c>
      <c r="B31" s="103">
        <v>29.41</v>
      </c>
      <c r="C31" s="103">
        <v>31.74</v>
      </c>
      <c r="D31" s="103">
        <v>29.41</v>
      </c>
      <c r="E31" s="103">
        <v>31.43</v>
      </c>
      <c r="F31" s="103">
        <v>31.43</v>
      </c>
      <c r="G31" s="104">
        <v>1598800</v>
      </c>
      <c r="J31" s="102">
        <v>42861</v>
      </c>
      <c r="K31" s="105">
        <v>4616.82</v>
      </c>
      <c r="L31" s="105">
        <v>4624.4799999999996</v>
      </c>
      <c r="M31" s="105">
        <v>4585.29</v>
      </c>
      <c r="N31" s="105">
        <v>4602.96</v>
      </c>
      <c r="O31" s="105">
        <v>4602.96</v>
      </c>
      <c r="P31" s="103" t="s">
        <v>400</v>
      </c>
      <c r="S31" s="110" t="s">
        <v>318</v>
      </c>
      <c r="T31" s="111" t="s">
        <v>326</v>
      </c>
    </row>
    <row r="32" spans="1:20" ht="15" thickBot="1" x14ac:dyDescent="0.35">
      <c r="A32" s="102">
        <v>42854</v>
      </c>
      <c r="B32" s="103">
        <v>29.9</v>
      </c>
      <c r="C32" s="103">
        <v>31.49</v>
      </c>
      <c r="D32" s="103">
        <v>28.85</v>
      </c>
      <c r="E32" s="103">
        <v>29.51</v>
      </c>
      <c r="F32" s="103">
        <v>29.51</v>
      </c>
      <c r="G32" s="104">
        <v>1598000</v>
      </c>
      <c r="J32" s="102">
        <v>42854</v>
      </c>
      <c r="K32" s="105">
        <v>4593.1099999999997</v>
      </c>
      <c r="L32" s="105">
        <v>4615.1000000000004</v>
      </c>
      <c r="M32" s="105">
        <v>4577.29</v>
      </c>
      <c r="N32" s="105">
        <v>4615.09</v>
      </c>
      <c r="O32" s="105">
        <v>4615.09</v>
      </c>
      <c r="P32" s="103" t="s">
        <v>400</v>
      </c>
      <c r="S32" s="112" t="s">
        <v>319</v>
      </c>
      <c r="T32" s="113" t="s">
        <v>322</v>
      </c>
    </row>
    <row r="33" spans="1:20" ht="15" thickBot="1" x14ac:dyDescent="0.35">
      <c r="A33" s="102">
        <v>42847</v>
      </c>
      <c r="B33" s="103">
        <v>28.87</v>
      </c>
      <c r="C33" s="103">
        <v>30.61</v>
      </c>
      <c r="D33" s="103">
        <v>28.74</v>
      </c>
      <c r="E33" s="103">
        <v>29.91</v>
      </c>
      <c r="F33" s="103">
        <v>29.91</v>
      </c>
      <c r="G33" s="104">
        <v>1579200</v>
      </c>
      <c r="J33" s="102">
        <v>42847</v>
      </c>
      <c r="K33" s="105">
        <v>4557.59</v>
      </c>
      <c r="L33" s="105">
        <v>4611.16</v>
      </c>
      <c r="M33" s="105">
        <v>4555.43</v>
      </c>
      <c r="N33" s="105">
        <v>4584.82</v>
      </c>
      <c r="O33" s="105">
        <v>4584.82</v>
      </c>
      <c r="P33" s="103" t="s">
        <v>400</v>
      </c>
    </row>
    <row r="34" spans="1:20" ht="15" thickBot="1" x14ac:dyDescent="0.35">
      <c r="A34" s="102">
        <v>42840</v>
      </c>
      <c r="B34" s="103">
        <v>29.26</v>
      </c>
      <c r="C34" s="103">
        <v>29.3</v>
      </c>
      <c r="D34" s="103">
        <v>28.11</v>
      </c>
      <c r="E34" s="103">
        <v>28.57</v>
      </c>
      <c r="F34" s="103">
        <v>28.57</v>
      </c>
      <c r="G34" s="104">
        <v>1315900</v>
      </c>
      <c r="J34" s="102">
        <v>42840</v>
      </c>
      <c r="K34" s="105">
        <v>4484.1400000000003</v>
      </c>
      <c r="L34" s="105">
        <v>4540.21</v>
      </c>
      <c r="M34" s="105">
        <v>4483.99</v>
      </c>
      <c r="N34" s="105">
        <v>4515.8999999999996</v>
      </c>
      <c r="O34" s="105">
        <v>4515.8999999999996</v>
      </c>
      <c r="P34" s="103" t="s">
        <v>400</v>
      </c>
    </row>
    <row r="35" spans="1:20" ht="15" thickBot="1" x14ac:dyDescent="0.35">
      <c r="A35" s="102">
        <v>42833</v>
      </c>
      <c r="B35" s="103">
        <v>28.62</v>
      </c>
      <c r="C35" s="103">
        <v>29.47</v>
      </c>
      <c r="D35" s="103">
        <v>28.04</v>
      </c>
      <c r="E35" s="103">
        <v>29.16</v>
      </c>
      <c r="F35" s="103">
        <v>29.16</v>
      </c>
      <c r="G35" s="104">
        <v>1186100</v>
      </c>
      <c r="J35" s="102">
        <v>42833</v>
      </c>
      <c r="K35" s="105">
        <v>4530.5600000000004</v>
      </c>
      <c r="L35" s="105">
        <v>4548.21</v>
      </c>
      <c r="M35" s="105">
        <v>4477.0600000000004</v>
      </c>
      <c r="N35" s="105">
        <v>4477.07</v>
      </c>
      <c r="O35" s="105">
        <v>4477.07</v>
      </c>
      <c r="P35" s="103" t="s">
        <v>400</v>
      </c>
      <c r="S35" s="106" t="s">
        <v>3</v>
      </c>
    </row>
    <row r="36" spans="1:20" ht="29.4" thickBot="1" x14ac:dyDescent="0.35">
      <c r="A36" s="102">
        <v>42826</v>
      </c>
      <c r="B36" s="103">
        <v>29.1</v>
      </c>
      <c r="C36" s="103">
        <v>29.22</v>
      </c>
      <c r="D36" s="103">
        <v>27.94</v>
      </c>
      <c r="E36" s="103">
        <v>28.5</v>
      </c>
      <c r="F36" s="103">
        <v>28.5</v>
      </c>
      <c r="G36" s="104">
        <v>1801100</v>
      </c>
      <c r="J36" s="102">
        <v>42826</v>
      </c>
      <c r="K36" s="105">
        <v>4537.71</v>
      </c>
      <c r="L36" s="105">
        <v>4569.53</v>
      </c>
      <c r="M36" s="105">
        <v>4503.8999999999996</v>
      </c>
      <c r="N36" s="105">
        <v>4527.2</v>
      </c>
      <c r="O36" s="105">
        <v>4527.2</v>
      </c>
      <c r="P36" s="103" t="s">
        <v>400</v>
      </c>
      <c r="S36" s="106" t="s">
        <v>4</v>
      </c>
      <c r="T36" s="107" t="s">
        <v>427</v>
      </c>
    </row>
    <row r="37" spans="1:20" ht="15" thickBot="1" x14ac:dyDescent="0.35">
      <c r="A37" s="102">
        <v>42819</v>
      </c>
      <c r="B37" s="103">
        <v>28.5</v>
      </c>
      <c r="C37" s="103">
        <v>29.45</v>
      </c>
      <c r="D37" s="103">
        <v>28.27</v>
      </c>
      <c r="E37" s="103">
        <v>29.04</v>
      </c>
      <c r="F37" s="103">
        <v>29.04</v>
      </c>
      <c r="G37" s="104">
        <v>1401600</v>
      </c>
      <c r="J37" s="102">
        <v>42819</v>
      </c>
      <c r="K37" s="105">
        <v>4472.5600000000004</v>
      </c>
      <c r="L37" s="105">
        <v>4552.96</v>
      </c>
      <c r="M37" s="105">
        <v>4459.5</v>
      </c>
      <c r="N37" s="105">
        <v>4538.21</v>
      </c>
      <c r="O37" s="105">
        <v>4538.21</v>
      </c>
      <c r="P37" s="103" t="s">
        <v>400</v>
      </c>
    </row>
    <row r="38" spans="1:20" ht="15" thickBot="1" x14ac:dyDescent="0.35">
      <c r="A38" s="102">
        <v>42812</v>
      </c>
      <c r="B38" s="103">
        <v>30.48</v>
      </c>
      <c r="C38" s="103">
        <v>30.76</v>
      </c>
      <c r="D38" s="103">
        <v>28.06</v>
      </c>
      <c r="E38" s="103">
        <v>28.82</v>
      </c>
      <c r="F38" s="103">
        <v>28.82</v>
      </c>
      <c r="G38" s="104">
        <v>1872100</v>
      </c>
      <c r="J38" s="102">
        <v>42812</v>
      </c>
      <c r="K38" s="105">
        <v>4566.28</v>
      </c>
      <c r="L38" s="105">
        <v>4573.68</v>
      </c>
      <c r="M38" s="105">
        <v>4485.43</v>
      </c>
      <c r="N38" s="105">
        <v>4501.1099999999997</v>
      </c>
      <c r="O38" s="105">
        <v>4501.1099999999997</v>
      </c>
      <c r="P38" s="103" t="s">
        <v>400</v>
      </c>
      <c r="S38" s="116" t="s">
        <v>419</v>
      </c>
      <c r="T38" s="117" t="s">
        <v>421</v>
      </c>
    </row>
    <row r="39" spans="1:20" ht="15" thickBot="1" x14ac:dyDescent="0.35">
      <c r="A39" s="102">
        <v>42806</v>
      </c>
      <c r="B39" s="103">
        <v>30.98</v>
      </c>
      <c r="C39" s="103">
        <v>31.16</v>
      </c>
      <c r="D39" s="103">
        <v>30.02</v>
      </c>
      <c r="E39" s="103">
        <v>30.47</v>
      </c>
      <c r="F39" s="103">
        <v>30.47</v>
      </c>
      <c r="G39" s="104">
        <v>1655100</v>
      </c>
      <c r="J39" s="102">
        <v>42806</v>
      </c>
      <c r="K39" s="105">
        <v>4552.7700000000004</v>
      </c>
      <c r="L39" s="105">
        <v>4588.5</v>
      </c>
      <c r="M39" s="105">
        <v>4527.33</v>
      </c>
      <c r="N39" s="105">
        <v>4566.17</v>
      </c>
      <c r="O39" s="105">
        <v>4566.17</v>
      </c>
      <c r="P39" s="103" t="s">
        <v>400</v>
      </c>
      <c r="S39" s="114" t="s">
        <v>132</v>
      </c>
      <c r="T39" s="115" t="s">
        <v>410</v>
      </c>
    </row>
    <row r="40" spans="1:20" ht="15" thickBot="1" x14ac:dyDescent="0.35">
      <c r="A40" s="102">
        <v>42799</v>
      </c>
      <c r="B40" s="103">
        <v>31.4</v>
      </c>
      <c r="C40" s="103">
        <v>31.75</v>
      </c>
      <c r="D40" s="103">
        <v>30.45</v>
      </c>
      <c r="E40" s="103">
        <v>31.05</v>
      </c>
      <c r="F40" s="103">
        <v>31.05</v>
      </c>
      <c r="G40" s="104">
        <v>1137800</v>
      </c>
      <c r="J40" s="102">
        <v>42799</v>
      </c>
      <c r="K40" s="105">
        <v>4556.57</v>
      </c>
      <c r="L40" s="105">
        <v>4563.41</v>
      </c>
      <c r="M40" s="105">
        <v>4518.6000000000004</v>
      </c>
      <c r="N40" s="105">
        <v>4553.28</v>
      </c>
      <c r="O40" s="105">
        <v>4553.28</v>
      </c>
      <c r="P40" s="103" t="s">
        <v>400</v>
      </c>
      <c r="S40" s="110" t="s">
        <v>403</v>
      </c>
      <c r="T40" s="111" t="s">
        <v>411</v>
      </c>
    </row>
    <row r="41" spans="1:20" ht="15" thickBot="1" x14ac:dyDescent="0.35">
      <c r="A41" s="102">
        <v>42792</v>
      </c>
      <c r="B41" s="103">
        <v>29.68</v>
      </c>
      <c r="C41" s="103">
        <v>32.57</v>
      </c>
      <c r="D41" s="103">
        <v>29.21</v>
      </c>
      <c r="E41" s="103">
        <v>31.43</v>
      </c>
      <c r="F41" s="103">
        <v>31.43</v>
      </c>
      <c r="G41" s="104">
        <v>2214700</v>
      </c>
      <c r="J41" s="102">
        <v>42792</v>
      </c>
      <c r="K41" s="105">
        <v>4535.84</v>
      </c>
      <c r="L41" s="105">
        <v>4605.2700000000004</v>
      </c>
      <c r="M41" s="105">
        <v>4523.99</v>
      </c>
      <c r="N41" s="105">
        <v>4571.6000000000004</v>
      </c>
      <c r="O41" s="105">
        <v>4571.6000000000004</v>
      </c>
      <c r="P41" s="103" t="s">
        <v>400</v>
      </c>
      <c r="S41" s="110" t="s">
        <v>404</v>
      </c>
      <c r="T41" s="111" t="s">
        <v>412</v>
      </c>
    </row>
    <row r="42" spans="1:20" ht="15" thickBot="1" x14ac:dyDescent="0.35">
      <c r="A42" s="102">
        <v>42785</v>
      </c>
      <c r="B42" s="103">
        <v>30.23</v>
      </c>
      <c r="C42" s="103">
        <v>31.11</v>
      </c>
      <c r="D42" s="103">
        <v>29.08</v>
      </c>
      <c r="E42" s="103">
        <v>29.95</v>
      </c>
      <c r="F42" s="103">
        <v>29.95</v>
      </c>
      <c r="G42" s="104">
        <v>1153000</v>
      </c>
      <c r="J42" s="102">
        <v>42785</v>
      </c>
      <c r="K42" s="105">
        <v>4513.3900000000003</v>
      </c>
      <c r="L42" s="105">
        <v>4539.92</v>
      </c>
      <c r="M42" s="105">
        <v>4511.6499999999996</v>
      </c>
      <c r="N42" s="105">
        <v>4539.25</v>
      </c>
      <c r="O42" s="105">
        <v>4539.25</v>
      </c>
      <c r="P42" s="103" t="s">
        <v>400</v>
      </c>
      <c r="S42" s="110" t="s">
        <v>405</v>
      </c>
      <c r="T42" s="111" t="s">
        <v>413</v>
      </c>
    </row>
    <row r="43" spans="1:20" ht="15" thickBot="1" x14ac:dyDescent="0.35">
      <c r="A43" s="102">
        <v>42778</v>
      </c>
      <c r="B43" s="103">
        <v>30.02</v>
      </c>
      <c r="C43" s="103">
        <v>31.16</v>
      </c>
      <c r="D43" s="103">
        <v>29.44</v>
      </c>
      <c r="E43" s="103">
        <v>30.39</v>
      </c>
      <c r="F43" s="103">
        <v>30.39</v>
      </c>
      <c r="G43" s="104">
        <v>1320800</v>
      </c>
      <c r="J43" s="102">
        <v>42778</v>
      </c>
      <c r="K43" s="105">
        <v>4447.32</v>
      </c>
      <c r="L43" s="105">
        <v>4506.37</v>
      </c>
      <c r="M43" s="105">
        <v>4446.76</v>
      </c>
      <c r="N43" s="105">
        <v>4506.2</v>
      </c>
      <c r="O43" s="105">
        <v>4506.2</v>
      </c>
      <c r="P43" s="103" t="s">
        <v>400</v>
      </c>
      <c r="S43" s="110" t="s">
        <v>406</v>
      </c>
      <c r="T43" s="111" t="s">
        <v>413</v>
      </c>
    </row>
    <row r="44" spans="1:20" ht="15" thickBot="1" x14ac:dyDescent="0.35">
      <c r="A44" s="102">
        <v>42771</v>
      </c>
      <c r="B44" s="103">
        <v>30.34</v>
      </c>
      <c r="C44" s="103">
        <v>31.12</v>
      </c>
      <c r="D44" s="103">
        <v>28.81</v>
      </c>
      <c r="E44" s="103">
        <v>29.71</v>
      </c>
      <c r="F44" s="103">
        <v>29.71</v>
      </c>
      <c r="G44" s="104">
        <v>1816900</v>
      </c>
      <c r="J44" s="102">
        <v>42771</v>
      </c>
      <c r="K44" s="105">
        <v>4390.97</v>
      </c>
      <c r="L44" s="105">
        <v>4441.3999999999996</v>
      </c>
      <c r="M44" s="105">
        <v>4375.59</v>
      </c>
      <c r="N44" s="105">
        <v>4435.42</v>
      </c>
      <c r="O44" s="105">
        <v>4435.42</v>
      </c>
      <c r="P44" s="103" t="s">
        <v>400</v>
      </c>
      <c r="S44" s="110" t="s">
        <v>407</v>
      </c>
      <c r="T44" s="111" t="s">
        <v>414</v>
      </c>
    </row>
    <row r="45" spans="1:20" ht="15" thickBot="1" x14ac:dyDescent="0.35">
      <c r="A45" s="102">
        <v>42764</v>
      </c>
      <c r="B45" s="103">
        <v>30.26</v>
      </c>
      <c r="C45" s="103">
        <v>31.13</v>
      </c>
      <c r="D45" s="103">
        <v>28.97</v>
      </c>
      <c r="E45" s="103">
        <v>30.29</v>
      </c>
      <c r="F45" s="103">
        <v>30.29</v>
      </c>
      <c r="G45" s="104">
        <v>1837500</v>
      </c>
      <c r="J45" s="102">
        <v>42764</v>
      </c>
      <c r="K45" s="105">
        <v>4373.45</v>
      </c>
      <c r="L45" s="105">
        <v>4398.58</v>
      </c>
      <c r="M45" s="105">
        <v>4337.53</v>
      </c>
      <c r="N45" s="105">
        <v>4396.95</v>
      </c>
      <c r="O45" s="105">
        <v>4396.95</v>
      </c>
      <c r="P45" s="103" t="s">
        <v>400</v>
      </c>
      <c r="S45" s="110" t="s">
        <v>408</v>
      </c>
      <c r="T45" s="111"/>
    </row>
    <row r="46" spans="1:20" ht="15" thickBot="1" x14ac:dyDescent="0.35">
      <c r="A46" s="102">
        <v>42757</v>
      </c>
      <c r="B46" s="103">
        <v>29.15</v>
      </c>
      <c r="C46" s="103">
        <v>30.86</v>
      </c>
      <c r="D46" s="103">
        <v>29.15</v>
      </c>
      <c r="E46" s="103">
        <v>30.15</v>
      </c>
      <c r="F46" s="103">
        <v>30.15</v>
      </c>
      <c r="G46" s="104">
        <v>1698800</v>
      </c>
      <c r="J46" s="102">
        <v>42757</v>
      </c>
      <c r="K46" s="105">
        <v>4338.04</v>
      </c>
      <c r="L46" s="105">
        <v>4401.57</v>
      </c>
      <c r="M46" s="105">
        <v>4317.45</v>
      </c>
      <c r="N46" s="105">
        <v>4389.8500000000004</v>
      </c>
      <c r="O46" s="105">
        <v>4389.8500000000004</v>
      </c>
      <c r="P46" s="103" t="s">
        <v>400</v>
      </c>
      <c r="S46" s="110" t="s">
        <v>415</v>
      </c>
      <c r="T46" s="111" t="s">
        <v>416</v>
      </c>
    </row>
    <row r="47" spans="1:20" ht="15" thickBot="1" x14ac:dyDescent="0.35">
      <c r="A47" s="102">
        <v>42750</v>
      </c>
      <c r="B47" s="103">
        <v>30.68</v>
      </c>
      <c r="C47" s="103">
        <v>30.68</v>
      </c>
      <c r="D47" s="103">
        <v>28.91</v>
      </c>
      <c r="E47" s="103">
        <v>29.44</v>
      </c>
      <c r="F47" s="103">
        <v>29.44</v>
      </c>
      <c r="G47" s="104">
        <v>2021700</v>
      </c>
      <c r="J47" s="102">
        <v>42750</v>
      </c>
      <c r="K47" s="105">
        <v>4339.6000000000004</v>
      </c>
      <c r="L47" s="105">
        <v>4355.41</v>
      </c>
      <c r="M47" s="105">
        <v>4319.87</v>
      </c>
      <c r="N47" s="105">
        <v>4344.67</v>
      </c>
      <c r="O47" s="105">
        <v>4344.67</v>
      </c>
      <c r="P47" s="103" t="s">
        <v>400</v>
      </c>
      <c r="S47" s="112" t="s">
        <v>409</v>
      </c>
      <c r="T47" s="113" t="s">
        <v>417</v>
      </c>
    </row>
    <row r="48" spans="1:20" ht="15" thickBot="1" x14ac:dyDescent="0.35">
      <c r="A48" s="102">
        <v>42743</v>
      </c>
      <c r="B48" s="103">
        <v>35</v>
      </c>
      <c r="C48" s="103">
        <v>35</v>
      </c>
      <c r="D48" s="103">
        <v>29.33</v>
      </c>
      <c r="E48" s="103">
        <v>30.66</v>
      </c>
      <c r="F48" s="103">
        <v>30.66</v>
      </c>
      <c r="G48" s="104">
        <v>2618300</v>
      </c>
      <c r="J48" s="102">
        <v>42743</v>
      </c>
      <c r="K48" s="105">
        <v>4347.58</v>
      </c>
      <c r="L48" s="105">
        <v>4358.45</v>
      </c>
      <c r="M48" s="105">
        <v>4311.22</v>
      </c>
      <c r="N48" s="105">
        <v>4350.1099999999997</v>
      </c>
      <c r="O48" s="105">
        <v>4350.1099999999997</v>
      </c>
      <c r="P48" s="103" t="s">
        <v>400</v>
      </c>
    </row>
    <row r="49" spans="1:19" ht="15" thickBot="1" x14ac:dyDescent="0.35">
      <c r="A49" s="102">
        <v>42736</v>
      </c>
      <c r="B49" s="103">
        <v>33.46</v>
      </c>
      <c r="C49" s="103">
        <v>34.99</v>
      </c>
      <c r="D49" s="103">
        <v>32.32</v>
      </c>
      <c r="E49" s="103">
        <v>34.659999999999997</v>
      </c>
      <c r="F49" s="103">
        <v>34.659999999999997</v>
      </c>
      <c r="G49" s="104">
        <v>2018500</v>
      </c>
      <c r="J49" s="102">
        <v>42736</v>
      </c>
      <c r="K49" s="105">
        <v>4303.12</v>
      </c>
      <c r="L49" s="105">
        <v>4363.83</v>
      </c>
      <c r="M49" s="105">
        <v>4290.8500000000004</v>
      </c>
      <c r="N49" s="105">
        <v>4354.05</v>
      </c>
      <c r="O49" s="105">
        <v>4354.05</v>
      </c>
      <c r="P49" s="103" t="s">
        <v>400</v>
      </c>
    </row>
    <row r="50" spans="1:19" ht="15" thickBot="1" x14ac:dyDescent="0.35">
      <c r="A50" s="102"/>
      <c r="B50" s="103"/>
      <c r="C50" s="103"/>
      <c r="D50" s="103"/>
      <c r="E50" s="103"/>
      <c r="F50" s="103"/>
      <c r="G50" s="104"/>
      <c r="J50" s="102"/>
      <c r="K50" s="105"/>
      <c r="L50" s="105"/>
      <c r="M50" s="105"/>
      <c r="N50" s="105"/>
      <c r="O50" s="105"/>
      <c r="P50" s="103"/>
    </row>
    <row r="51" spans="1:19" ht="15" thickBot="1" x14ac:dyDescent="0.35">
      <c r="A51" s="102">
        <v>42729</v>
      </c>
      <c r="B51" s="103">
        <v>33.36</v>
      </c>
      <c r="C51" s="103">
        <v>33.9</v>
      </c>
      <c r="D51" s="103">
        <v>32.119999999999997</v>
      </c>
      <c r="E51" s="103">
        <v>32.840000000000003</v>
      </c>
      <c r="F51" s="103">
        <v>32.840000000000003</v>
      </c>
      <c r="G51" s="104">
        <v>1068700</v>
      </c>
      <c r="J51" s="102">
        <v>42729</v>
      </c>
      <c r="K51" s="105">
        <v>4329.87</v>
      </c>
      <c r="L51" s="105">
        <v>4344.26</v>
      </c>
      <c r="M51" s="105">
        <v>4268.71</v>
      </c>
      <c r="N51" s="105">
        <v>4278.66</v>
      </c>
      <c r="O51" s="105">
        <v>4278.66</v>
      </c>
      <c r="P51" s="103" t="s">
        <v>400</v>
      </c>
    </row>
    <row r="52" spans="1:19" ht="15" thickBot="1" x14ac:dyDescent="0.35">
      <c r="A52" s="102">
        <v>42722</v>
      </c>
      <c r="B52" s="103">
        <v>35.950000000000003</v>
      </c>
      <c r="C52" s="103">
        <v>36.22</v>
      </c>
      <c r="D52" s="103">
        <v>32.85</v>
      </c>
      <c r="E52" s="103">
        <v>33.590000000000003</v>
      </c>
      <c r="F52" s="103">
        <v>33.590000000000003</v>
      </c>
      <c r="G52" s="104">
        <v>2253000</v>
      </c>
      <c r="J52" s="102">
        <v>42722</v>
      </c>
      <c r="K52" s="105">
        <v>4314.7299999999996</v>
      </c>
      <c r="L52" s="105">
        <v>4340.76</v>
      </c>
      <c r="M52" s="105">
        <v>4310.05</v>
      </c>
      <c r="N52" s="105">
        <v>4325.17</v>
      </c>
      <c r="O52" s="105">
        <v>4325.17</v>
      </c>
      <c r="P52" s="103" t="s">
        <v>400</v>
      </c>
    </row>
    <row r="53" spans="1:19" ht="15" thickBot="1" x14ac:dyDescent="0.35">
      <c r="A53" s="102">
        <v>42715</v>
      </c>
      <c r="B53" s="103">
        <v>32.200000000000003</v>
      </c>
      <c r="C53" s="103">
        <v>36.64</v>
      </c>
      <c r="D53" s="103">
        <v>31.59</v>
      </c>
      <c r="E53" s="103">
        <v>35.880000000000003</v>
      </c>
      <c r="F53" s="103">
        <v>35.880000000000003</v>
      </c>
      <c r="G53" s="104">
        <v>4610500</v>
      </c>
      <c r="J53" s="102">
        <v>42715</v>
      </c>
      <c r="K53" s="105">
        <v>4312.5</v>
      </c>
      <c r="L53" s="105">
        <v>4348.8900000000003</v>
      </c>
      <c r="M53" s="105">
        <v>4294.13</v>
      </c>
      <c r="N53" s="105">
        <v>4312.3999999999996</v>
      </c>
      <c r="O53" s="105">
        <v>4312.3999999999996</v>
      </c>
      <c r="P53" s="103" t="s">
        <v>400</v>
      </c>
    </row>
    <row r="54" spans="1:19" ht="15" thickBot="1" x14ac:dyDescent="0.35">
      <c r="A54" s="102">
        <v>42708</v>
      </c>
      <c r="B54" s="103">
        <v>26.65</v>
      </c>
      <c r="C54" s="103">
        <v>33.94</v>
      </c>
      <c r="D54" s="103">
        <v>26.16</v>
      </c>
      <c r="E54" s="103">
        <v>32.369999999999997</v>
      </c>
      <c r="F54" s="103">
        <v>32.369999999999997</v>
      </c>
      <c r="G54" s="104">
        <v>4024300</v>
      </c>
      <c r="J54" s="102">
        <v>42708</v>
      </c>
      <c r="K54" s="105">
        <v>4199.83</v>
      </c>
      <c r="L54" s="105">
        <v>4314.1000000000004</v>
      </c>
      <c r="M54" s="105">
        <v>4198.68</v>
      </c>
      <c r="N54" s="105">
        <v>4313.6099999999997</v>
      </c>
      <c r="O54" s="105">
        <v>4313.6099999999997</v>
      </c>
      <c r="P54" s="103" t="s">
        <v>400</v>
      </c>
    </row>
    <row r="55" spans="1:19" ht="15" thickBot="1" x14ac:dyDescent="0.35">
      <c r="A55" s="102">
        <v>42701</v>
      </c>
      <c r="B55" s="103">
        <v>29.93</v>
      </c>
      <c r="C55" s="103">
        <v>29.93</v>
      </c>
      <c r="D55" s="103">
        <v>25.96</v>
      </c>
      <c r="E55" s="103">
        <v>26.27</v>
      </c>
      <c r="F55" s="103">
        <v>26.27</v>
      </c>
      <c r="G55" s="104">
        <v>2348400</v>
      </c>
      <c r="J55" s="102">
        <v>42701</v>
      </c>
      <c r="K55" s="105">
        <v>4215.58</v>
      </c>
      <c r="L55" s="105">
        <v>4224.8999999999996</v>
      </c>
      <c r="M55" s="105">
        <v>4174.22</v>
      </c>
      <c r="N55" s="105">
        <v>4182.8100000000004</v>
      </c>
      <c r="O55" s="105">
        <v>4182.8100000000004</v>
      </c>
      <c r="P55" s="103" t="s">
        <v>400</v>
      </c>
    </row>
    <row r="56" spans="1:19" ht="15" thickBot="1" x14ac:dyDescent="0.35">
      <c r="A56" s="102">
        <v>42694</v>
      </c>
      <c r="B56" s="103">
        <v>29.46</v>
      </c>
      <c r="C56" s="103">
        <v>30.14</v>
      </c>
      <c r="D56" s="103">
        <v>27.74</v>
      </c>
      <c r="E56" s="103">
        <v>30.14</v>
      </c>
      <c r="F56" s="103">
        <v>30.14</v>
      </c>
      <c r="G56" s="104">
        <v>1255000</v>
      </c>
      <c r="J56" s="102">
        <v>42694</v>
      </c>
      <c r="K56" s="105">
        <v>4169.2700000000004</v>
      </c>
      <c r="L56" s="105">
        <v>4221.03</v>
      </c>
      <c r="M56" s="105">
        <v>4169.2700000000004</v>
      </c>
      <c r="N56" s="105">
        <v>4221.0200000000004</v>
      </c>
      <c r="O56" s="105">
        <v>4221.0200000000004</v>
      </c>
      <c r="P56" s="103" t="s">
        <v>400</v>
      </c>
    </row>
    <row r="57" spans="1:19" ht="15" thickBot="1" x14ac:dyDescent="0.35">
      <c r="A57" s="102">
        <v>42687</v>
      </c>
      <c r="B57" s="103">
        <v>30.91</v>
      </c>
      <c r="C57" s="103">
        <v>31.98</v>
      </c>
      <c r="D57" s="103">
        <v>28.87</v>
      </c>
      <c r="E57" s="103">
        <v>29.42</v>
      </c>
      <c r="F57" s="103">
        <v>29.42</v>
      </c>
      <c r="G57" s="104">
        <v>2005100</v>
      </c>
      <c r="J57" s="102">
        <v>42687</v>
      </c>
      <c r="K57" s="105">
        <v>4126.55</v>
      </c>
      <c r="L57" s="105">
        <v>4175.75</v>
      </c>
      <c r="M57" s="105">
        <v>4108.41</v>
      </c>
      <c r="N57" s="105">
        <v>4160.58</v>
      </c>
      <c r="O57" s="105">
        <v>4160.58</v>
      </c>
      <c r="P57" s="103" t="s">
        <v>400</v>
      </c>
      <c r="R57" t="s">
        <v>428</v>
      </c>
    </row>
    <row r="58" spans="1:19" ht="15" thickBot="1" x14ac:dyDescent="0.35">
      <c r="A58" s="102">
        <v>42679</v>
      </c>
      <c r="B58" s="103">
        <v>25.66</v>
      </c>
      <c r="C58" s="103">
        <v>31.2</v>
      </c>
      <c r="D58" s="103">
        <v>25.38</v>
      </c>
      <c r="E58" s="103">
        <v>30.9</v>
      </c>
      <c r="F58" s="103">
        <v>30.9</v>
      </c>
      <c r="G58" s="104">
        <v>3067600</v>
      </c>
      <c r="J58" s="102">
        <v>42679</v>
      </c>
      <c r="K58" s="105">
        <v>3999.41</v>
      </c>
      <c r="L58" s="105">
        <v>4157.5200000000004</v>
      </c>
      <c r="M58" s="105">
        <v>3999.41</v>
      </c>
      <c r="N58" s="105">
        <v>4123.6899999999996</v>
      </c>
      <c r="O58" s="105">
        <v>4123.6899999999996</v>
      </c>
      <c r="P58" s="103" t="s">
        <v>400</v>
      </c>
      <c r="R58" t="s">
        <v>429</v>
      </c>
      <c r="S58" t="s">
        <v>430</v>
      </c>
    </row>
    <row r="59" spans="1:19" ht="15" thickBot="1" x14ac:dyDescent="0.35">
      <c r="A59" s="102">
        <v>42672</v>
      </c>
      <c r="B59" s="103">
        <v>26.92</v>
      </c>
      <c r="C59" s="103">
        <v>27.21</v>
      </c>
      <c r="D59" s="103">
        <v>24.47</v>
      </c>
      <c r="E59" s="103">
        <v>25.32</v>
      </c>
      <c r="F59" s="103">
        <v>25.32</v>
      </c>
      <c r="G59" s="104">
        <v>2299900</v>
      </c>
      <c r="J59" s="102">
        <v>42672</v>
      </c>
      <c r="K59" s="105">
        <v>4052.79</v>
      </c>
      <c r="L59" s="105">
        <v>4059.34</v>
      </c>
      <c r="M59" s="105">
        <v>3967.38</v>
      </c>
      <c r="N59" s="105">
        <v>3970.02</v>
      </c>
      <c r="O59" s="105">
        <v>3970.02</v>
      </c>
      <c r="P59" s="103" t="s">
        <v>400</v>
      </c>
      <c r="Q59" t="s">
        <v>431</v>
      </c>
      <c r="R59" s="118">
        <v>377.1</v>
      </c>
      <c r="S59">
        <v>367.1</v>
      </c>
    </row>
    <row r="60" spans="1:19" ht="15" thickBot="1" x14ac:dyDescent="0.35">
      <c r="A60" s="102">
        <v>42665</v>
      </c>
      <c r="B60" s="103">
        <v>28.18</v>
      </c>
      <c r="C60" s="103">
        <v>28.68</v>
      </c>
      <c r="D60" s="103">
        <v>26.69</v>
      </c>
      <c r="E60" s="103">
        <v>26.9</v>
      </c>
      <c r="F60" s="103">
        <v>26.9</v>
      </c>
      <c r="G60" s="104">
        <v>1054900</v>
      </c>
      <c r="J60" s="102">
        <v>42665</v>
      </c>
      <c r="K60" s="105">
        <v>4087.84</v>
      </c>
      <c r="L60" s="105">
        <v>4099.76</v>
      </c>
      <c r="M60" s="105">
        <v>4033.03</v>
      </c>
      <c r="N60" s="105">
        <v>4046.36</v>
      </c>
      <c r="O60" s="105">
        <v>4046.36</v>
      </c>
      <c r="P60" s="103" t="s">
        <v>400</v>
      </c>
      <c r="Q60" t="s">
        <v>432</v>
      </c>
      <c r="R60" s="118">
        <v>30.2</v>
      </c>
      <c r="S60">
        <v>48.7</v>
      </c>
    </row>
    <row r="61" spans="1:19" ht="15" thickBot="1" x14ac:dyDescent="0.35">
      <c r="A61" s="102">
        <v>42658</v>
      </c>
      <c r="B61" s="103">
        <v>29.28</v>
      </c>
      <c r="C61" s="103">
        <v>29.37</v>
      </c>
      <c r="D61" s="103">
        <v>27.8</v>
      </c>
      <c r="E61" s="103">
        <v>28.14</v>
      </c>
      <c r="F61" s="103">
        <v>28.14</v>
      </c>
      <c r="G61" s="104">
        <v>1942900</v>
      </c>
      <c r="J61" s="102">
        <v>42658</v>
      </c>
      <c r="K61" s="105">
        <v>4057.33</v>
      </c>
      <c r="L61" s="105">
        <v>4087.39</v>
      </c>
      <c r="M61" s="105">
        <v>4041.2</v>
      </c>
      <c r="N61" s="105">
        <v>4073.85</v>
      </c>
      <c r="O61" s="105">
        <v>4073.85</v>
      </c>
      <c r="P61" s="103" t="s">
        <v>400</v>
      </c>
      <c r="Q61" t="s">
        <v>433</v>
      </c>
      <c r="R61" s="118">
        <v>40.9</v>
      </c>
      <c r="S61">
        <v>57.8</v>
      </c>
    </row>
    <row r="62" spans="1:19" ht="15" thickBot="1" x14ac:dyDescent="0.35">
      <c r="A62" s="102">
        <v>42651</v>
      </c>
      <c r="B62" s="103">
        <v>31.47</v>
      </c>
      <c r="C62" s="103">
        <v>32.32</v>
      </c>
      <c r="D62" s="103">
        <v>29.21</v>
      </c>
      <c r="E62" s="103">
        <v>29.24</v>
      </c>
      <c r="F62" s="103">
        <v>29.24</v>
      </c>
      <c r="G62" s="104">
        <v>2220100</v>
      </c>
      <c r="J62" s="102">
        <v>42651</v>
      </c>
      <c r="K62" s="105">
        <v>4108.8999999999996</v>
      </c>
      <c r="L62" s="105">
        <v>4126.3599999999997</v>
      </c>
      <c r="M62" s="105">
        <v>4022.62</v>
      </c>
      <c r="N62" s="105">
        <v>4057.28</v>
      </c>
      <c r="O62" s="105">
        <v>4057.28</v>
      </c>
      <c r="P62" s="103" t="s">
        <v>400</v>
      </c>
      <c r="Q62" t="s">
        <v>297</v>
      </c>
      <c r="R62" s="118">
        <v>80.400000000000006</v>
      </c>
      <c r="S62">
        <v>100.8</v>
      </c>
    </row>
    <row r="63" spans="1:19" ht="15" thickBot="1" x14ac:dyDescent="0.35">
      <c r="A63" s="102">
        <v>42644</v>
      </c>
      <c r="B63" s="103">
        <v>31.54</v>
      </c>
      <c r="C63" s="103">
        <v>32.799999999999997</v>
      </c>
      <c r="D63" s="103">
        <v>30.55</v>
      </c>
      <c r="E63" s="103">
        <v>31.19</v>
      </c>
      <c r="F63" s="103">
        <v>31.19</v>
      </c>
      <c r="G63" s="104">
        <v>3066000</v>
      </c>
      <c r="J63" s="102">
        <v>42644</v>
      </c>
      <c r="K63" s="105">
        <v>4114.09</v>
      </c>
      <c r="L63" s="105">
        <v>4119.26</v>
      </c>
      <c r="M63" s="105">
        <v>4075.85</v>
      </c>
      <c r="N63" s="105">
        <v>4096.25</v>
      </c>
      <c r="O63" s="105">
        <v>4096.25</v>
      </c>
      <c r="P63" s="103" t="s">
        <v>400</v>
      </c>
    </row>
    <row r="64" spans="1:19" ht="15" thickBot="1" x14ac:dyDescent="0.35">
      <c r="A64" s="102">
        <v>42637</v>
      </c>
      <c r="B64" s="103">
        <v>28.21</v>
      </c>
      <c r="C64" s="103">
        <v>31.8</v>
      </c>
      <c r="D64" s="103">
        <v>27.37</v>
      </c>
      <c r="E64" s="103">
        <v>31.53</v>
      </c>
      <c r="F64" s="103">
        <v>31.53</v>
      </c>
      <c r="G64" s="104">
        <v>3032200</v>
      </c>
      <c r="J64" s="102">
        <v>42637</v>
      </c>
      <c r="K64" s="105">
        <v>4101.3500000000004</v>
      </c>
      <c r="L64" s="105">
        <v>4134.42</v>
      </c>
      <c r="M64" s="105">
        <v>4069.32</v>
      </c>
      <c r="N64" s="105">
        <v>4121.0600000000004</v>
      </c>
      <c r="O64" s="105">
        <v>4121.0600000000004</v>
      </c>
      <c r="P64" s="103" t="s">
        <v>400</v>
      </c>
      <c r="R64" s="119">
        <f>R60/R$59</f>
        <v>8.0084858127817543E-2</v>
      </c>
      <c r="S64" s="119">
        <f>S60/S$59</f>
        <v>0.13266140016344322</v>
      </c>
    </row>
    <row r="65" spans="1:19" ht="15" thickBot="1" x14ac:dyDescent="0.35">
      <c r="A65" s="102">
        <v>42630</v>
      </c>
      <c r="B65" s="103">
        <v>27.41</v>
      </c>
      <c r="C65" s="103">
        <v>28.87</v>
      </c>
      <c r="D65" s="103">
        <v>26.81</v>
      </c>
      <c r="E65" s="103">
        <v>28.36</v>
      </c>
      <c r="F65" s="103">
        <v>28.36</v>
      </c>
      <c r="G65" s="104">
        <v>2469900</v>
      </c>
      <c r="J65" s="102">
        <v>42630</v>
      </c>
      <c r="K65" s="105">
        <v>4073.2</v>
      </c>
      <c r="L65" s="105">
        <v>4141.6899999999996</v>
      </c>
      <c r="M65" s="105">
        <v>4057.85</v>
      </c>
      <c r="N65" s="105">
        <v>4112.6899999999996</v>
      </c>
      <c r="O65" s="105">
        <v>4112.6899999999996</v>
      </c>
      <c r="P65" s="103" t="s">
        <v>400</v>
      </c>
      <c r="R65" s="119">
        <f t="shared" ref="R65:S66" si="0">R61/R$59</f>
        <v>0.1084592946168125</v>
      </c>
      <c r="S65" s="119">
        <f t="shared" si="0"/>
        <v>0.1574502860256061</v>
      </c>
    </row>
    <row r="66" spans="1:19" ht="15" thickBot="1" x14ac:dyDescent="0.35">
      <c r="A66" s="102">
        <v>42623</v>
      </c>
      <c r="B66" s="103">
        <v>26.64</v>
      </c>
      <c r="C66" s="103">
        <v>27.69</v>
      </c>
      <c r="D66" s="103">
        <v>26.41</v>
      </c>
      <c r="E66" s="103">
        <v>27.49</v>
      </c>
      <c r="F66" s="103">
        <v>27.49</v>
      </c>
      <c r="G66" s="104">
        <v>2417300</v>
      </c>
      <c r="J66" s="102">
        <v>42623</v>
      </c>
      <c r="K66" s="105">
        <v>4026.98</v>
      </c>
      <c r="L66" s="105">
        <v>4107.51</v>
      </c>
      <c r="M66" s="105">
        <v>4023.89</v>
      </c>
      <c r="N66" s="105">
        <v>4063.97</v>
      </c>
      <c r="O66" s="105">
        <v>4063.97</v>
      </c>
      <c r="P66" s="103" t="s">
        <v>400</v>
      </c>
      <c r="R66" s="119">
        <f t="shared" si="0"/>
        <v>0.21320604614160701</v>
      </c>
      <c r="S66" s="119">
        <f t="shared" si="0"/>
        <v>0.27458458185780438</v>
      </c>
    </row>
    <row r="67" spans="1:19" ht="15" thickBot="1" x14ac:dyDescent="0.35">
      <c r="A67" s="102">
        <v>42616</v>
      </c>
      <c r="B67" s="103">
        <v>26.96</v>
      </c>
      <c r="C67" s="103">
        <v>27.94</v>
      </c>
      <c r="D67" s="103">
        <v>26.7</v>
      </c>
      <c r="E67" s="103">
        <v>26.71</v>
      </c>
      <c r="F67" s="103">
        <v>26.71</v>
      </c>
      <c r="G67" s="104">
        <v>1359800</v>
      </c>
      <c r="J67" s="102">
        <v>42616</v>
      </c>
      <c r="K67" s="105">
        <v>4140.87</v>
      </c>
      <c r="L67" s="105">
        <v>4153.66</v>
      </c>
      <c r="M67" s="105">
        <v>4039.95</v>
      </c>
      <c r="N67" s="105">
        <v>4039.95</v>
      </c>
      <c r="O67" s="105">
        <v>4039.95</v>
      </c>
      <c r="P67" s="103" t="s">
        <v>400</v>
      </c>
    </row>
    <row r="68" spans="1:19" ht="15" thickBot="1" x14ac:dyDescent="0.35">
      <c r="A68" s="102">
        <v>42609</v>
      </c>
      <c r="B68" s="103">
        <v>27.51</v>
      </c>
      <c r="C68" s="103">
        <v>27.74</v>
      </c>
      <c r="D68" s="103">
        <v>26.12</v>
      </c>
      <c r="E68" s="103">
        <v>26.9</v>
      </c>
      <c r="F68" s="103">
        <v>26.9</v>
      </c>
      <c r="G68" s="104">
        <v>1962800</v>
      </c>
      <c r="J68" s="102">
        <v>42609</v>
      </c>
      <c r="K68" s="105">
        <v>4117.42</v>
      </c>
      <c r="L68" s="105">
        <v>4146.93</v>
      </c>
      <c r="M68" s="105">
        <v>4094.03</v>
      </c>
      <c r="N68" s="105">
        <v>4137.7</v>
      </c>
      <c r="O68" s="105">
        <v>4137.7</v>
      </c>
      <c r="P68" s="103" t="s">
        <v>400</v>
      </c>
    </row>
    <row r="69" spans="1:19" ht="15" thickBot="1" x14ac:dyDescent="0.35">
      <c r="A69" s="102">
        <v>42602</v>
      </c>
      <c r="B69" s="103">
        <v>28.01</v>
      </c>
      <c r="C69" s="103">
        <v>28.24</v>
      </c>
      <c r="D69" s="103">
        <v>26.79</v>
      </c>
      <c r="E69" s="103">
        <v>27.59</v>
      </c>
      <c r="F69" s="103">
        <v>27.59</v>
      </c>
      <c r="G69" s="104">
        <v>1912000</v>
      </c>
      <c r="J69" s="102">
        <v>42602</v>
      </c>
      <c r="K69" s="105">
        <v>4137.96</v>
      </c>
      <c r="L69" s="105">
        <v>4160.49</v>
      </c>
      <c r="M69" s="105">
        <v>4098.29</v>
      </c>
      <c r="N69" s="105">
        <v>4114.68</v>
      </c>
      <c r="O69" s="105">
        <v>4114.68</v>
      </c>
      <c r="P69" s="103" t="s">
        <v>400</v>
      </c>
    </row>
    <row r="70" spans="1:19" ht="15" thickBot="1" x14ac:dyDescent="0.35">
      <c r="A70" s="102">
        <v>42595</v>
      </c>
      <c r="B70" s="103">
        <v>27.02</v>
      </c>
      <c r="C70" s="103">
        <v>28.17</v>
      </c>
      <c r="D70" s="103">
        <v>26.53</v>
      </c>
      <c r="E70" s="103">
        <v>28.01</v>
      </c>
      <c r="F70" s="103">
        <v>28.01</v>
      </c>
      <c r="G70" s="104">
        <v>3113200</v>
      </c>
      <c r="J70" s="102">
        <v>42595</v>
      </c>
      <c r="K70" s="105">
        <v>4143.9799999999996</v>
      </c>
      <c r="L70" s="105">
        <v>4158.63</v>
      </c>
      <c r="M70" s="105">
        <v>4112.47</v>
      </c>
      <c r="N70" s="105">
        <v>4142.2299999999996</v>
      </c>
      <c r="O70" s="105">
        <v>4142.2299999999996</v>
      </c>
      <c r="P70" s="103" t="s">
        <v>400</v>
      </c>
    </row>
    <row r="71" spans="1:19" ht="15" thickBot="1" x14ac:dyDescent="0.35">
      <c r="A71" s="102">
        <v>42588</v>
      </c>
      <c r="B71" s="103">
        <v>29.71</v>
      </c>
      <c r="C71" s="103">
        <v>29.86</v>
      </c>
      <c r="D71" s="103">
        <v>26.76</v>
      </c>
      <c r="E71" s="103">
        <v>26.87</v>
      </c>
      <c r="F71" s="103">
        <v>26.87</v>
      </c>
      <c r="G71" s="104">
        <v>3001600</v>
      </c>
      <c r="J71" s="102">
        <v>42588</v>
      </c>
      <c r="K71" s="105">
        <v>4136.63</v>
      </c>
      <c r="L71" s="105">
        <v>4147.74</v>
      </c>
      <c r="M71" s="105">
        <v>4116.08</v>
      </c>
      <c r="N71" s="105">
        <v>4139.63</v>
      </c>
      <c r="O71" s="105">
        <v>4139.63</v>
      </c>
      <c r="P71" s="103" t="s">
        <v>400</v>
      </c>
    </row>
    <row r="72" spans="1:19" ht="15" thickBot="1" x14ac:dyDescent="0.35">
      <c r="A72" s="102">
        <v>42581</v>
      </c>
      <c r="B72" s="103">
        <v>31.92</v>
      </c>
      <c r="C72" s="103">
        <v>31.92</v>
      </c>
      <c r="D72" s="103">
        <v>27.89</v>
      </c>
      <c r="E72" s="103">
        <v>29.78</v>
      </c>
      <c r="F72" s="103">
        <v>29.78</v>
      </c>
      <c r="G72" s="104">
        <v>3974400</v>
      </c>
      <c r="J72" s="102">
        <v>42581</v>
      </c>
      <c r="K72" s="105">
        <v>4113.66</v>
      </c>
      <c r="L72" s="105">
        <v>4134.5600000000004</v>
      </c>
      <c r="M72" s="105">
        <v>4065.38</v>
      </c>
      <c r="N72" s="105">
        <v>4134.5600000000004</v>
      </c>
      <c r="O72" s="105">
        <v>4134.5600000000004</v>
      </c>
      <c r="P72" s="103" t="s">
        <v>400</v>
      </c>
    </row>
    <row r="73" spans="1:19" ht="15" thickBot="1" x14ac:dyDescent="0.35">
      <c r="A73" s="102">
        <v>42574</v>
      </c>
      <c r="B73" s="103">
        <v>31.99</v>
      </c>
      <c r="C73" s="103">
        <v>34.1</v>
      </c>
      <c r="D73" s="103">
        <v>31.81</v>
      </c>
      <c r="E73" s="103">
        <v>33.39</v>
      </c>
      <c r="F73" s="103">
        <v>33.39</v>
      </c>
      <c r="G73" s="104">
        <v>2722000</v>
      </c>
      <c r="J73" s="102">
        <v>42574</v>
      </c>
      <c r="K73" s="105">
        <v>4114.03</v>
      </c>
      <c r="L73" s="105">
        <v>4121.1099999999997</v>
      </c>
      <c r="M73" s="105">
        <v>4086.75</v>
      </c>
      <c r="N73" s="105">
        <v>4114.51</v>
      </c>
      <c r="O73" s="105">
        <v>4114.51</v>
      </c>
      <c r="P73" s="103" t="s">
        <v>400</v>
      </c>
    </row>
    <row r="74" spans="1:19" ht="15" thickBot="1" x14ac:dyDescent="0.35">
      <c r="A74" s="102">
        <v>42567</v>
      </c>
      <c r="B74" s="103">
        <v>31.12</v>
      </c>
      <c r="C74" s="103">
        <v>32.93</v>
      </c>
      <c r="D74" s="103">
        <v>29.89</v>
      </c>
      <c r="E74" s="103">
        <v>32.340000000000003</v>
      </c>
      <c r="F74" s="103">
        <v>32.340000000000003</v>
      </c>
      <c r="G74" s="104">
        <v>2716400</v>
      </c>
      <c r="J74" s="102">
        <v>42567</v>
      </c>
      <c r="K74" s="105">
        <v>4091.22</v>
      </c>
      <c r="L74" s="105">
        <v>4117.55</v>
      </c>
      <c r="M74" s="105">
        <v>4085.58</v>
      </c>
      <c r="N74" s="105">
        <v>4116.5</v>
      </c>
      <c r="O74" s="105">
        <v>4116.5</v>
      </c>
      <c r="P74" s="103" t="s">
        <v>400</v>
      </c>
    </row>
    <row r="75" spans="1:19" ht="15" thickBot="1" x14ac:dyDescent="0.35">
      <c r="A75" s="102">
        <v>42560</v>
      </c>
      <c r="B75" s="103">
        <v>30.25</v>
      </c>
      <c r="C75" s="103">
        <v>32.1</v>
      </c>
      <c r="D75" s="103">
        <v>29.81</v>
      </c>
      <c r="E75" s="103">
        <v>31.18</v>
      </c>
      <c r="F75" s="103">
        <v>31.18</v>
      </c>
      <c r="G75" s="104">
        <v>3533400</v>
      </c>
      <c r="J75" s="102">
        <v>42560</v>
      </c>
      <c r="K75" s="105">
        <v>4033.2</v>
      </c>
      <c r="L75" s="105">
        <v>4104.26</v>
      </c>
      <c r="M75" s="105">
        <v>4033.2</v>
      </c>
      <c r="N75" s="105">
        <v>4090.49</v>
      </c>
      <c r="O75" s="105">
        <v>4090.49</v>
      </c>
      <c r="P75" s="103" t="s">
        <v>400</v>
      </c>
    </row>
    <row r="76" spans="1:19" ht="15" thickBot="1" x14ac:dyDescent="0.35">
      <c r="A76" s="102">
        <v>42553</v>
      </c>
      <c r="B76" s="103">
        <v>28.78</v>
      </c>
      <c r="C76" s="103">
        <v>30.15</v>
      </c>
      <c r="D76" s="103">
        <v>28.3</v>
      </c>
      <c r="E76" s="103">
        <v>30.04</v>
      </c>
      <c r="F76" s="103">
        <v>30.04</v>
      </c>
      <c r="G76" s="104">
        <v>1905200</v>
      </c>
      <c r="J76" s="102">
        <v>42553</v>
      </c>
      <c r="K76" s="105">
        <v>3962.02</v>
      </c>
      <c r="L76" s="105">
        <v>4033.1</v>
      </c>
      <c r="M76" s="105">
        <v>3923.65</v>
      </c>
      <c r="N76" s="105">
        <v>4029.75</v>
      </c>
      <c r="O76" s="105">
        <v>4029.75</v>
      </c>
      <c r="P76" s="103" t="s">
        <v>400</v>
      </c>
    </row>
    <row r="77" spans="1:19" ht="15" thickBot="1" x14ac:dyDescent="0.35">
      <c r="A77" s="102">
        <v>42546</v>
      </c>
      <c r="B77" s="103">
        <v>29.8</v>
      </c>
      <c r="C77" s="103">
        <v>29.8</v>
      </c>
      <c r="D77" s="103">
        <v>27.01</v>
      </c>
      <c r="E77" s="103">
        <v>28.71</v>
      </c>
      <c r="F77" s="103">
        <v>28.71</v>
      </c>
      <c r="G77" s="104">
        <v>5232700</v>
      </c>
      <c r="J77" s="102">
        <v>42546</v>
      </c>
      <c r="K77" s="105">
        <v>3839.44</v>
      </c>
      <c r="L77" s="105">
        <v>3987.54</v>
      </c>
      <c r="M77" s="105">
        <v>3764.35</v>
      </c>
      <c r="N77" s="105">
        <v>3976.68</v>
      </c>
      <c r="O77" s="105">
        <v>3976.68</v>
      </c>
      <c r="P77" s="103" t="s">
        <v>400</v>
      </c>
    </row>
    <row r="78" spans="1:19" ht="15" thickBot="1" x14ac:dyDescent="0.35">
      <c r="A78" s="102">
        <v>42539</v>
      </c>
      <c r="B78" s="103">
        <v>39.380000000000003</v>
      </c>
      <c r="C78" s="103">
        <v>40.06</v>
      </c>
      <c r="D78" s="103">
        <v>29.19</v>
      </c>
      <c r="E78" s="103">
        <v>29.34</v>
      </c>
      <c r="F78" s="103">
        <v>29.34</v>
      </c>
      <c r="G78" s="104">
        <v>14975500</v>
      </c>
      <c r="J78" s="102">
        <v>42539</v>
      </c>
      <c r="K78" s="105">
        <v>3922.42</v>
      </c>
      <c r="L78" s="105">
        <v>3994.18</v>
      </c>
      <c r="M78" s="105">
        <v>3841.77</v>
      </c>
      <c r="N78" s="105">
        <v>3850.7</v>
      </c>
      <c r="O78" s="105">
        <v>3850.7</v>
      </c>
      <c r="P78" s="103" t="s">
        <v>400</v>
      </c>
    </row>
    <row r="79" spans="1:19" ht="15" thickBot="1" x14ac:dyDescent="0.35">
      <c r="A79" s="102">
        <v>42532</v>
      </c>
      <c r="B79" s="103">
        <v>42</v>
      </c>
      <c r="C79" s="103">
        <v>42.27</v>
      </c>
      <c r="D79" s="103">
        <v>38.86</v>
      </c>
      <c r="E79" s="103">
        <v>38.97</v>
      </c>
      <c r="F79" s="103">
        <v>38.97</v>
      </c>
      <c r="G79" s="104">
        <v>2734700</v>
      </c>
      <c r="J79" s="102">
        <v>42532</v>
      </c>
      <c r="K79" s="105">
        <v>3951.7</v>
      </c>
      <c r="L79" s="105">
        <v>3963.5</v>
      </c>
      <c r="M79" s="105">
        <v>3874.74</v>
      </c>
      <c r="N79" s="105">
        <v>3914.15</v>
      </c>
      <c r="O79" s="105">
        <v>3914.15</v>
      </c>
      <c r="P79" s="103" t="s">
        <v>400</v>
      </c>
    </row>
    <row r="80" spans="1:19" ht="15" thickBot="1" x14ac:dyDescent="0.35">
      <c r="A80" s="102">
        <v>42525</v>
      </c>
      <c r="B80" s="103">
        <v>43.58</v>
      </c>
      <c r="C80" s="103">
        <v>44.38</v>
      </c>
      <c r="D80" s="103">
        <v>42.09</v>
      </c>
      <c r="E80" s="103">
        <v>42.3</v>
      </c>
      <c r="F80" s="103">
        <v>42.3</v>
      </c>
      <c r="G80" s="104">
        <v>1827800</v>
      </c>
      <c r="J80" s="102">
        <v>42525</v>
      </c>
      <c r="K80" s="105">
        <v>3966.55</v>
      </c>
      <c r="L80" s="105">
        <v>4004.69</v>
      </c>
      <c r="M80" s="105">
        <v>3947.14</v>
      </c>
      <c r="N80" s="105">
        <v>3958.68</v>
      </c>
      <c r="O80" s="105">
        <v>3958.68</v>
      </c>
      <c r="P80" s="103" t="s">
        <v>400</v>
      </c>
    </row>
    <row r="81" spans="1:16" ht="15" thickBot="1" x14ac:dyDescent="0.35">
      <c r="A81" s="102">
        <v>42518</v>
      </c>
      <c r="B81" s="103">
        <v>43.8</v>
      </c>
      <c r="C81" s="103">
        <v>44.02</v>
      </c>
      <c r="D81" s="103">
        <v>42.84</v>
      </c>
      <c r="E81" s="103">
        <v>43.71</v>
      </c>
      <c r="F81" s="103">
        <v>43.71</v>
      </c>
      <c r="G81" s="104">
        <v>1475200</v>
      </c>
      <c r="J81" s="102">
        <v>42518</v>
      </c>
      <c r="K81" s="105">
        <v>3963.93</v>
      </c>
      <c r="L81" s="105">
        <v>3974.76</v>
      </c>
      <c r="M81" s="105">
        <v>3936.33</v>
      </c>
      <c r="N81" s="105">
        <v>3963.23</v>
      </c>
      <c r="O81" s="105">
        <v>3963.23</v>
      </c>
      <c r="P81" s="103" t="s">
        <v>400</v>
      </c>
    </row>
    <row r="82" spans="1:16" ht="15" thickBot="1" x14ac:dyDescent="0.35">
      <c r="A82" s="102">
        <v>42511</v>
      </c>
      <c r="B82" s="103">
        <v>42.21</v>
      </c>
      <c r="C82" s="103">
        <v>43.7</v>
      </c>
      <c r="D82" s="103">
        <v>41.58</v>
      </c>
      <c r="E82" s="103">
        <v>43.7</v>
      </c>
      <c r="F82" s="103">
        <v>43.7</v>
      </c>
      <c r="G82" s="104">
        <v>2301600</v>
      </c>
      <c r="J82" s="102">
        <v>42511</v>
      </c>
      <c r="K82" s="105">
        <v>3871.71</v>
      </c>
      <c r="L82" s="105">
        <v>3961.67</v>
      </c>
      <c r="M82" s="105">
        <v>3862.36</v>
      </c>
      <c r="N82" s="105">
        <v>3961.67</v>
      </c>
      <c r="O82" s="105">
        <v>3961.67</v>
      </c>
      <c r="P82" s="103" t="s">
        <v>400</v>
      </c>
    </row>
    <row r="83" spans="1:16" ht="15" thickBot="1" x14ac:dyDescent="0.35">
      <c r="A83" s="102">
        <v>42504</v>
      </c>
      <c r="B83" s="103">
        <v>39.549999999999997</v>
      </c>
      <c r="C83" s="103">
        <v>42.26</v>
      </c>
      <c r="D83" s="103">
        <v>39.44</v>
      </c>
      <c r="E83" s="103">
        <v>42.07</v>
      </c>
      <c r="F83" s="103">
        <v>42.07</v>
      </c>
      <c r="G83" s="104">
        <v>2491400</v>
      </c>
      <c r="J83" s="102">
        <v>42504</v>
      </c>
      <c r="K83" s="105">
        <v>3858.41</v>
      </c>
      <c r="L83" s="105">
        <v>3906.2</v>
      </c>
      <c r="M83" s="105">
        <v>3821.53</v>
      </c>
      <c r="N83" s="105">
        <v>3871.75</v>
      </c>
      <c r="O83" s="105">
        <v>3871.75</v>
      </c>
      <c r="P83" s="103" t="s">
        <v>400</v>
      </c>
    </row>
    <row r="84" spans="1:16" ht="15" thickBot="1" x14ac:dyDescent="0.35">
      <c r="A84" s="102">
        <v>42497</v>
      </c>
      <c r="B84" s="103">
        <v>38.1</v>
      </c>
      <c r="C84" s="103">
        <v>39.950000000000003</v>
      </c>
      <c r="D84" s="103">
        <v>38</v>
      </c>
      <c r="E84" s="103">
        <v>39.47</v>
      </c>
      <c r="F84" s="103">
        <v>39.47</v>
      </c>
      <c r="G84" s="104">
        <v>3335300</v>
      </c>
      <c r="J84" s="102">
        <v>42497</v>
      </c>
      <c r="K84" s="105">
        <v>3875.99</v>
      </c>
      <c r="L84" s="105">
        <v>3927.5</v>
      </c>
      <c r="M84" s="105">
        <v>3851.62</v>
      </c>
      <c r="N84" s="105">
        <v>3858.17</v>
      </c>
      <c r="O84" s="105">
        <v>3858.17</v>
      </c>
      <c r="P84" s="103" t="s">
        <v>400</v>
      </c>
    </row>
    <row r="85" spans="1:16" ht="15" thickBot="1" x14ac:dyDescent="0.35">
      <c r="A85" s="102">
        <v>42490</v>
      </c>
      <c r="B85" s="103">
        <v>38.549999999999997</v>
      </c>
      <c r="C85" s="103">
        <v>39.99</v>
      </c>
      <c r="D85" s="103">
        <v>37.200000000000003</v>
      </c>
      <c r="E85" s="103">
        <v>38.299999999999997</v>
      </c>
      <c r="F85" s="103">
        <v>38.299999999999997</v>
      </c>
      <c r="G85" s="104">
        <v>2474200</v>
      </c>
      <c r="J85" s="102">
        <v>42490</v>
      </c>
      <c r="K85" s="105">
        <v>3891.68</v>
      </c>
      <c r="L85" s="105">
        <v>3922.27</v>
      </c>
      <c r="M85" s="105">
        <v>3841.9</v>
      </c>
      <c r="N85" s="105">
        <v>3875.18</v>
      </c>
      <c r="O85" s="105">
        <v>3875.18</v>
      </c>
      <c r="P85" s="103" t="s">
        <v>400</v>
      </c>
    </row>
    <row r="86" spans="1:16" ht="15" thickBot="1" x14ac:dyDescent="0.35">
      <c r="A86" s="102">
        <v>42483</v>
      </c>
      <c r="B86" s="103">
        <v>40.549999999999997</v>
      </c>
      <c r="C86" s="103">
        <v>40.96</v>
      </c>
      <c r="D86" s="103">
        <v>38.46</v>
      </c>
      <c r="E86" s="103">
        <v>38.520000000000003</v>
      </c>
      <c r="F86" s="103">
        <v>38.520000000000003</v>
      </c>
      <c r="G86" s="104">
        <v>2124200</v>
      </c>
      <c r="J86" s="102">
        <v>42483</v>
      </c>
      <c r="K86" s="105">
        <v>3932.84</v>
      </c>
      <c r="L86" s="105">
        <v>3952.92</v>
      </c>
      <c r="M86" s="105">
        <v>3863.66</v>
      </c>
      <c r="N86" s="105">
        <v>3888.13</v>
      </c>
      <c r="O86" s="105">
        <v>3888.13</v>
      </c>
      <c r="P86" s="103" t="s">
        <v>400</v>
      </c>
    </row>
    <row r="87" spans="1:16" ht="15" thickBot="1" x14ac:dyDescent="0.35">
      <c r="A87" s="102">
        <v>42476</v>
      </c>
      <c r="B87" s="103">
        <v>39.6</v>
      </c>
      <c r="C87" s="103">
        <v>40.58</v>
      </c>
      <c r="D87" s="103">
        <v>38.64</v>
      </c>
      <c r="E87" s="103">
        <v>40.58</v>
      </c>
      <c r="F87" s="103">
        <v>40.58</v>
      </c>
      <c r="G87" s="104">
        <v>1616700</v>
      </c>
      <c r="J87" s="102">
        <v>42476</v>
      </c>
      <c r="K87" s="105">
        <v>3912.66</v>
      </c>
      <c r="L87" s="105">
        <v>3973.53</v>
      </c>
      <c r="M87" s="105">
        <v>3902.99</v>
      </c>
      <c r="N87" s="105">
        <v>3937</v>
      </c>
      <c r="O87" s="105">
        <v>3937</v>
      </c>
      <c r="P87" s="103" t="s">
        <v>400</v>
      </c>
    </row>
    <row r="88" spans="1:16" ht="15" thickBot="1" x14ac:dyDescent="0.35">
      <c r="A88" s="102">
        <v>42469</v>
      </c>
      <c r="B88" s="103">
        <v>39.18</v>
      </c>
      <c r="C88" s="103">
        <v>39.76</v>
      </c>
      <c r="D88" s="103">
        <v>38.07</v>
      </c>
      <c r="E88" s="103">
        <v>39.6</v>
      </c>
      <c r="F88" s="103">
        <v>39.6</v>
      </c>
      <c r="G88" s="104">
        <v>1591700</v>
      </c>
      <c r="J88" s="102">
        <v>42469</v>
      </c>
      <c r="K88" s="105">
        <v>3857.68</v>
      </c>
      <c r="L88" s="105">
        <v>3929.51</v>
      </c>
      <c r="M88" s="105">
        <v>3838.06</v>
      </c>
      <c r="N88" s="105">
        <v>3916.17</v>
      </c>
      <c r="O88" s="105">
        <v>3916.17</v>
      </c>
      <c r="P88" s="103" t="s">
        <v>400</v>
      </c>
    </row>
    <row r="89" spans="1:16" ht="15" thickBot="1" x14ac:dyDescent="0.35">
      <c r="A89" s="102">
        <v>42462</v>
      </c>
      <c r="B89" s="103">
        <v>36.590000000000003</v>
      </c>
      <c r="C89" s="103">
        <v>39.54</v>
      </c>
      <c r="D89" s="103">
        <v>36.590000000000003</v>
      </c>
      <c r="E89" s="103">
        <v>38.950000000000003</v>
      </c>
      <c r="F89" s="103">
        <v>38.950000000000003</v>
      </c>
      <c r="G89" s="104">
        <v>2588300</v>
      </c>
      <c r="J89" s="102">
        <v>42462</v>
      </c>
      <c r="K89" s="105">
        <v>3899.28</v>
      </c>
      <c r="L89" s="105">
        <v>3900.82</v>
      </c>
      <c r="M89" s="105">
        <v>3826.77</v>
      </c>
      <c r="N89" s="105">
        <v>3852.72</v>
      </c>
      <c r="O89" s="105">
        <v>3852.72</v>
      </c>
      <c r="P89" s="103" t="s">
        <v>400</v>
      </c>
    </row>
    <row r="90" spans="1:16" ht="15" thickBot="1" x14ac:dyDescent="0.35">
      <c r="A90" s="102">
        <v>42455</v>
      </c>
      <c r="B90" s="103">
        <v>33.92</v>
      </c>
      <c r="C90" s="103">
        <v>36.86</v>
      </c>
      <c r="D90" s="103">
        <v>33.19</v>
      </c>
      <c r="E90" s="103">
        <v>36.549999999999997</v>
      </c>
      <c r="F90" s="103">
        <v>36.549999999999997</v>
      </c>
      <c r="G90" s="104">
        <v>2444800</v>
      </c>
      <c r="J90" s="102">
        <v>42455</v>
      </c>
      <c r="K90" s="105">
        <v>3830.84</v>
      </c>
      <c r="L90" s="105">
        <v>3901.95</v>
      </c>
      <c r="M90" s="105">
        <v>3813.72</v>
      </c>
      <c r="N90" s="105">
        <v>3897.66</v>
      </c>
      <c r="O90" s="105">
        <v>3897.66</v>
      </c>
      <c r="P90" s="103" t="s">
        <v>400</v>
      </c>
    </row>
    <row r="91" spans="1:16" ht="15" thickBot="1" x14ac:dyDescent="0.35">
      <c r="A91" s="102">
        <v>42448</v>
      </c>
      <c r="B91" s="103">
        <v>32.130000000000003</v>
      </c>
      <c r="C91" s="103">
        <v>34.83</v>
      </c>
      <c r="D91" s="103">
        <v>31.57</v>
      </c>
      <c r="E91" s="103">
        <v>33.75</v>
      </c>
      <c r="F91" s="103">
        <v>33.75</v>
      </c>
      <c r="G91" s="104">
        <v>1849400</v>
      </c>
      <c r="J91" s="102">
        <v>42448</v>
      </c>
      <c r="K91" s="105">
        <v>3848.98</v>
      </c>
      <c r="L91" s="105">
        <v>3865.93</v>
      </c>
      <c r="M91" s="105">
        <v>3802.03</v>
      </c>
      <c r="N91" s="105">
        <v>3827.14</v>
      </c>
      <c r="O91" s="105">
        <v>3827.14</v>
      </c>
      <c r="P91" s="103" t="s">
        <v>400</v>
      </c>
    </row>
    <row r="92" spans="1:16" ht="15" thickBot="1" x14ac:dyDescent="0.35">
      <c r="A92" s="102">
        <v>42442</v>
      </c>
      <c r="B92" s="103">
        <v>34</v>
      </c>
      <c r="C92" s="103">
        <v>34.43</v>
      </c>
      <c r="D92" s="103">
        <v>31.26</v>
      </c>
      <c r="E92" s="103">
        <v>32.18</v>
      </c>
      <c r="F92" s="103">
        <v>32.18</v>
      </c>
      <c r="G92" s="104">
        <v>2015900</v>
      </c>
      <c r="J92" s="102">
        <v>42442</v>
      </c>
      <c r="K92" s="105">
        <v>3794.83</v>
      </c>
      <c r="L92" s="105">
        <v>3857.38</v>
      </c>
      <c r="M92" s="105">
        <v>3768.54</v>
      </c>
      <c r="N92" s="105">
        <v>3852.15</v>
      </c>
      <c r="O92" s="105">
        <v>3852.15</v>
      </c>
      <c r="P92" s="103" t="s">
        <v>400</v>
      </c>
    </row>
    <row r="93" spans="1:16" ht="15" thickBot="1" x14ac:dyDescent="0.35">
      <c r="A93" s="102">
        <v>42435</v>
      </c>
      <c r="B93" s="103">
        <v>35.450000000000003</v>
      </c>
      <c r="C93" s="103">
        <v>36.340000000000003</v>
      </c>
      <c r="D93" s="103">
        <v>33.520000000000003</v>
      </c>
      <c r="E93" s="103">
        <v>34</v>
      </c>
      <c r="F93" s="103">
        <v>34</v>
      </c>
      <c r="G93" s="104">
        <v>1731700</v>
      </c>
      <c r="J93" s="102">
        <v>42435</v>
      </c>
      <c r="K93" s="105">
        <v>3748.44</v>
      </c>
      <c r="L93" s="105">
        <v>3800.34</v>
      </c>
      <c r="M93" s="105">
        <v>3699.59</v>
      </c>
      <c r="N93" s="105">
        <v>3800.07</v>
      </c>
      <c r="O93" s="105">
        <v>3800.07</v>
      </c>
      <c r="P93" s="103" t="s">
        <v>400</v>
      </c>
    </row>
    <row r="94" spans="1:16" ht="15" thickBot="1" x14ac:dyDescent="0.35">
      <c r="A94" s="102">
        <v>42428</v>
      </c>
      <c r="B94" s="103">
        <v>36.32</v>
      </c>
      <c r="C94" s="103">
        <v>36.58</v>
      </c>
      <c r="D94" s="103">
        <v>33.57</v>
      </c>
      <c r="E94" s="103">
        <v>35.409999999999997</v>
      </c>
      <c r="F94" s="103">
        <v>35.409999999999997</v>
      </c>
      <c r="G94" s="104">
        <v>2450800</v>
      </c>
      <c r="J94" s="102">
        <v>42428</v>
      </c>
      <c r="K94" s="105">
        <v>3655.03</v>
      </c>
      <c r="L94" s="105">
        <v>3772.64</v>
      </c>
      <c r="M94" s="105">
        <v>3626.35</v>
      </c>
      <c r="N94" s="105">
        <v>3755.47</v>
      </c>
      <c r="O94" s="105">
        <v>3755.47</v>
      </c>
      <c r="P94" s="103" t="s">
        <v>400</v>
      </c>
    </row>
    <row r="95" spans="1:16" ht="15" thickBot="1" x14ac:dyDescent="0.35">
      <c r="A95" s="102">
        <v>42421</v>
      </c>
      <c r="B95" s="103">
        <v>38.01</v>
      </c>
      <c r="C95" s="103">
        <v>38.590000000000003</v>
      </c>
      <c r="D95" s="103">
        <v>35.11</v>
      </c>
      <c r="E95" s="103">
        <v>35.94</v>
      </c>
      <c r="F95" s="103">
        <v>35.94</v>
      </c>
      <c r="G95" s="104">
        <v>2280700</v>
      </c>
      <c r="J95" s="102">
        <v>42421</v>
      </c>
      <c r="K95" s="105">
        <v>3610.41</v>
      </c>
      <c r="L95" s="105">
        <v>3684.39</v>
      </c>
      <c r="M95" s="105">
        <v>3548.14</v>
      </c>
      <c r="N95" s="105">
        <v>3656.42</v>
      </c>
      <c r="O95" s="105">
        <v>3656.42</v>
      </c>
      <c r="P95" s="103" t="s">
        <v>400</v>
      </c>
    </row>
    <row r="96" spans="1:16" ht="15" thickBot="1" x14ac:dyDescent="0.35">
      <c r="A96" s="102">
        <v>42414</v>
      </c>
      <c r="B96" s="103">
        <v>36.520000000000003</v>
      </c>
      <c r="C96" s="103">
        <v>37.979999999999997</v>
      </c>
      <c r="D96" s="103">
        <v>35.94</v>
      </c>
      <c r="E96" s="103">
        <v>37.69</v>
      </c>
      <c r="F96" s="103">
        <v>37.69</v>
      </c>
      <c r="G96" s="104">
        <v>1577300</v>
      </c>
      <c r="J96" s="102">
        <v>42414</v>
      </c>
      <c r="K96" s="105">
        <v>3509.94</v>
      </c>
      <c r="L96" s="105">
        <v>3621.39</v>
      </c>
      <c r="M96" s="105">
        <v>3509.94</v>
      </c>
      <c r="N96" s="105">
        <v>3597.92</v>
      </c>
      <c r="O96" s="105">
        <v>3597.92</v>
      </c>
      <c r="P96" s="103" t="s">
        <v>400</v>
      </c>
    </row>
    <row r="97" spans="1:16" ht="15" thickBot="1" x14ac:dyDescent="0.35">
      <c r="A97" s="102">
        <v>42407</v>
      </c>
      <c r="B97" s="103">
        <v>35.47</v>
      </c>
      <c r="C97" s="103">
        <v>35.979999999999997</v>
      </c>
      <c r="D97" s="103">
        <v>32.44</v>
      </c>
      <c r="E97" s="103">
        <v>35.880000000000003</v>
      </c>
      <c r="F97" s="103">
        <v>35.880000000000003</v>
      </c>
      <c r="G97" s="104">
        <v>2472300</v>
      </c>
      <c r="J97" s="102">
        <v>42407</v>
      </c>
      <c r="K97" s="105">
        <v>3509.19</v>
      </c>
      <c r="L97" s="105">
        <v>3526.66</v>
      </c>
      <c r="M97" s="105">
        <v>3393.43</v>
      </c>
      <c r="N97" s="105">
        <v>3496.28</v>
      </c>
      <c r="O97" s="105">
        <v>3496.28</v>
      </c>
      <c r="P97" s="103" t="s">
        <v>400</v>
      </c>
    </row>
    <row r="98" spans="1:16" ht="15" thickBot="1" x14ac:dyDescent="0.35">
      <c r="A98" s="102">
        <v>42400</v>
      </c>
      <c r="B98" s="103">
        <v>36.24</v>
      </c>
      <c r="C98" s="103">
        <v>38.340000000000003</v>
      </c>
      <c r="D98" s="103">
        <v>35.630000000000003</v>
      </c>
      <c r="E98" s="103">
        <v>35.78</v>
      </c>
      <c r="F98" s="103">
        <v>35.78</v>
      </c>
      <c r="G98" s="104">
        <v>2343800</v>
      </c>
      <c r="J98" s="102">
        <v>42400</v>
      </c>
      <c r="K98" s="105">
        <v>3625.89</v>
      </c>
      <c r="L98" s="105">
        <v>3644.91</v>
      </c>
      <c r="M98" s="105">
        <v>3506.12</v>
      </c>
      <c r="N98" s="105">
        <v>3521.6</v>
      </c>
      <c r="O98" s="105">
        <v>3521.6</v>
      </c>
      <c r="P98" s="103" t="s">
        <v>400</v>
      </c>
    </row>
    <row r="99" spans="1:16" ht="15" thickBot="1" x14ac:dyDescent="0.35">
      <c r="A99" s="102">
        <v>42393</v>
      </c>
      <c r="B99" s="103">
        <v>36.06</v>
      </c>
      <c r="C99" s="103">
        <v>36.99</v>
      </c>
      <c r="D99" s="103">
        <v>34.47</v>
      </c>
      <c r="E99" s="103">
        <v>36.6</v>
      </c>
      <c r="F99" s="103">
        <v>36.6</v>
      </c>
      <c r="G99" s="104">
        <v>2469800</v>
      </c>
      <c r="J99" s="102">
        <v>42393</v>
      </c>
      <c r="K99" s="105">
        <v>3567.76</v>
      </c>
      <c r="L99" s="105">
        <v>3631.96</v>
      </c>
      <c r="M99" s="105">
        <v>3505.18</v>
      </c>
      <c r="N99" s="105">
        <v>3631.96</v>
      </c>
      <c r="O99" s="105">
        <v>3631.96</v>
      </c>
      <c r="P99" s="103" t="s">
        <v>400</v>
      </c>
    </row>
    <row r="100" spans="1:16" ht="15" thickBot="1" x14ac:dyDescent="0.35">
      <c r="A100" s="102">
        <v>42386</v>
      </c>
      <c r="B100" s="103">
        <v>35.090000000000003</v>
      </c>
      <c r="C100" s="103">
        <v>36.31</v>
      </c>
      <c r="D100" s="103">
        <v>32.130000000000003</v>
      </c>
      <c r="E100" s="103">
        <v>36.159999999999997</v>
      </c>
      <c r="F100" s="103">
        <v>36.159999999999997</v>
      </c>
      <c r="G100" s="104">
        <v>1933400</v>
      </c>
      <c r="J100" s="102">
        <v>42386</v>
      </c>
      <c r="K100" s="105">
        <v>3534.11</v>
      </c>
      <c r="L100" s="105">
        <v>3572.41</v>
      </c>
      <c r="M100" s="105">
        <v>3391.77</v>
      </c>
      <c r="N100" s="105">
        <v>3568.9</v>
      </c>
      <c r="O100" s="105">
        <v>3568.9</v>
      </c>
      <c r="P100" s="103" t="s">
        <v>400</v>
      </c>
    </row>
    <row r="101" spans="1:16" ht="15" thickBot="1" x14ac:dyDescent="0.35">
      <c r="A101" s="102">
        <v>42379</v>
      </c>
      <c r="B101" s="103">
        <v>36.21</v>
      </c>
      <c r="C101" s="103">
        <v>37.119999999999997</v>
      </c>
      <c r="D101" s="103">
        <v>33.4</v>
      </c>
      <c r="E101" s="103">
        <v>34.630000000000003</v>
      </c>
      <c r="F101" s="103">
        <v>34.630000000000003</v>
      </c>
      <c r="G101" s="104">
        <v>2278800</v>
      </c>
      <c r="J101" s="102">
        <v>42379</v>
      </c>
      <c r="K101" s="105">
        <v>3603.55</v>
      </c>
      <c r="L101" s="105">
        <v>3649.27</v>
      </c>
      <c r="M101" s="105">
        <v>3476.53</v>
      </c>
      <c r="N101" s="105">
        <v>3518.51</v>
      </c>
      <c r="O101" s="105">
        <v>3518.51</v>
      </c>
      <c r="P101" s="103" t="s">
        <v>400</v>
      </c>
    </row>
    <row r="102" spans="1:16" ht="15" thickBot="1" x14ac:dyDescent="0.35">
      <c r="A102" s="102">
        <v>42372</v>
      </c>
      <c r="B102" s="103">
        <v>39.21</v>
      </c>
      <c r="C102" s="103">
        <v>39.29</v>
      </c>
      <c r="D102" s="103">
        <v>35.15</v>
      </c>
      <c r="E102" s="103">
        <v>35.26</v>
      </c>
      <c r="F102" s="103">
        <v>35.26</v>
      </c>
      <c r="G102" s="104">
        <v>1996900</v>
      </c>
      <c r="J102" s="102">
        <v>42372</v>
      </c>
      <c r="K102" s="105">
        <v>3811.74</v>
      </c>
      <c r="L102" s="105">
        <v>3811.74</v>
      </c>
      <c r="M102" s="105">
        <v>3589.46</v>
      </c>
      <c r="N102" s="105">
        <v>3595.91</v>
      </c>
      <c r="O102" s="105">
        <v>3595.91</v>
      </c>
      <c r="P102" s="103" t="s">
        <v>400</v>
      </c>
    </row>
    <row r="103" spans="1:16" ht="15" thickBot="1" x14ac:dyDescent="0.35">
      <c r="A103" s="102">
        <v>42365</v>
      </c>
      <c r="B103" s="103">
        <v>39.17</v>
      </c>
      <c r="C103" s="103">
        <v>40.49</v>
      </c>
      <c r="D103" s="103">
        <v>38.840000000000003</v>
      </c>
      <c r="E103" s="103">
        <v>40.01</v>
      </c>
      <c r="F103" s="103">
        <v>40.01</v>
      </c>
      <c r="G103" s="104">
        <v>1083200</v>
      </c>
      <c r="J103" s="102">
        <v>42365</v>
      </c>
      <c r="K103" s="105">
        <v>3846.31</v>
      </c>
      <c r="L103" s="105">
        <v>3891.51</v>
      </c>
      <c r="M103" s="105">
        <v>3820.94</v>
      </c>
      <c r="N103" s="105">
        <v>3821.6</v>
      </c>
      <c r="O103" s="105">
        <v>3821.6</v>
      </c>
      <c r="P103" s="103" t="s">
        <v>400</v>
      </c>
    </row>
    <row r="104" spans="1:16" ht="15" thickBot="1" x14ac:dyDescent="0.35">
      <c r="A104" s="102">
        <v>42358</v>
      </c>
      <c r="B104" s="103">
        <v>38.200000000000003</v>
      </c>
      <c r="C104" s="103">
        <v>39.479999999999997</v>
      </c>
      <c r="D104" s="103">
        <v>37.869999999999997</v>
      </c>
      <c r="E104" s="103">
        <v>39.33</v>
      </c>
      <c r="F104" s="103">
        <v>39.33</v>
      </c>
      <c r="G104" s="104">
        <v>749500</v>
      </c>
      <c r="J104" s="102">
        <v>42358</v>
      </c>
      <c r="K104" s="105">
        <v>3756.82</v>
      </c>
      <c r="L104" s="105">
        <v>3864.22</v>
      </c>
      <c r="M104" s="105">
        <v>3748.71</v>
      </c>
      <c r="N104" s="105">
        <v>3852.31</v>
      </c>
      <c r="O104" s="105">
        <v>3852.31</v>
      </c>
      <c r="P104" s="103" t="s">
        <v>400</v>
      </c>
    </row>
    <row r="105" spans="1:16" ht="15" thickBot="1" x14ac:dyDescent="0.35">
      <c r="A105" s="102">
        <v>42351</v>
      </c>
      <c r="B105" s="103">
        <v>36.130000000000003</v>
      </c>
      <c r="C105" s="103">
        <v>38.86</v>
      </c>
      <c r="D105" s="103">
        <v>35.96</v>
      </c>
      <c r="E105" s="103">
        <v>38.299999999999997</v>
      </c>
      <c r="F105" s="103">
        <v>38.299999999999997</v>
      </c>
      <c r="G105" s="104">
        <v>3582400</v>
      </c>
      <c r="J105" s="102">
        <v>42351</v>
      </c>
      <c r="K105" s="105">
        <v>3761.21</v>
      </c>
      <c r="L105" s="105">
        <v>3879.81</v>
      </c>
      <c r="M105" s="105">
        <v>3723.72</v>
      </c>
      <c r="N105" s="105">
        <v>3747.56</v>
      </c>
      <c r="O105" s="105">
        <v>3747.56</v>
      </c>
      <c r="P105" s="103" t="s">
        <v>400</v>
      </c>
    </row>
    <row r="106" spans="1:16" ht="15" thickBot="1" x14ac:dyDescent="0.35">
      <c r="A106" s="102">
        <v>42344</v>
      </c>
      <c r="B106" s="103">
        <v>37.74</v>
      </c>
      <c r="C106" s="103">
        <v>37.950000000000003</v>
      </c>
      <c r="D106" s="103">
        <v>35.82</v>
      </c>
      <c r="E106" s="103">
        <v>36</v>
      </c>
      <c r="F106" s="103">
        <v>36</v>
      </c>
      <c r="G106" s="104">
        <v>1301700</v>
      </c>
      <c r="J106" s="102">
        <v>42344</v>
      </c>
      <c r="K106" s="105">
        <v>3903.23</v>
      </c>
      <c r="L106" s="105">
        <v>3903.23</v>
      </c>
      <c r="M106" s="105">
        <v>3752.51</v>
      </c>
      <c r="N106" s="105">
        <v>3759.09</v>
      </c>
      <c r="O106" s="105">
        <v>3759.09</v>
      </c>
      <c r="P106" s="103" t="s">
        <v>400</v>
      </c>
    </row>
    <row r="107" spans="1:16" ht="15" thickBot="1" x14ac:dyDescent="0.35">
      <c r="A107" s="102">
        <v>42337</v>
      </c>
      <c r="B107" s="103">
        <v>38.619999999999997</v>
      </c>
      <c r="C107" s="103">
        <v>38.79</v>
      </c>
      <c r="D107" s="103">
        <v>36.26</v>
      </c>
      <c r="E107" s="103">
        <v>37.74</v>
      </c>
      <c r="F107" s="103">
        <v>37.74</v>
      </c>
      <c r="G107" s="104">
        <v>1923000</v>
      </c>
      <c r="J107" s="102">
        <v>42337</v>
      </c>
      <c r="K107" s="105">
        <v>3902.52</v>
      </c>
      <c r="L107" s="105">
        <v>3928.49</v>
      </c>
      <c r="M107" s="105">
        <v>3813.25</v>
      </c>
      <c r="N107" s="105">
        <v>3905.31</v>
      </c>
      <c r="O107" s="105">
        <v>3905.31</v>
      </c>
      <c r="P107" s="103" t="s">
        <v>400</v>
      </c>
    </row>
    <row r="108" spans="1:16" ht="15" thickBot="1" x14ac:dyDescent="0.35">
      <c r="A108" s="102">
        <v>42330</v>
      </c>
      <c r="B108" s="103">
        <v>37.5</v>
      </c>
      <c r="C108" s="103">
        <v>38.979999999999997</v>
      </c>
      <c r="D108" s="103">
        <v>37.380000000000003</v>
      </c>
      <c r="E108" s="103">
        <v>38.619999999999997</v>
      </c>
      <c r="F108" s="103">
        <v>38.619999999999997</v>
      </c>
      <c r="G108" s="104">
        <v>1084800</v>
      </c>
      <c r="J108" s="102">
        <v>42330</v>
      </c>
      <c r="K108" s="105">
        <v>3898.06</v>
      </c>
      <c r="L108" s="105">
        <v>3909.61</v>
      </c>
      <c r="M108" s="105">
        <v>3862.55</v>
      </c>
      <c r="N108" s="105">
        <v>3900.74</v>
      </c>
      <c r="O108" s="105">
        <v>3900.74</v>
      </c>
      <c r="P108" s="103" t="s">
        <v>400</v>
      </c>
    </row>
    <row r="109" spans="1:16" ht="15" thickBot="1" x14ac:dyDescent="0.35">
      <c r="A109" s="102">
        <v>42323</v>
      </c>
      <c r="B109" s="103">
        <v>36.630000000000003</v>
      </c>
      <c r="C109" s="103">
        <v>37.5</v>
      </c>
      <c r="D109" s="103">
        <v>35.67</v>
      </c>
      <c r="E109" s="103">
        <v>37.369999999999997</v>
      </c>
      <c r="F109" s="103">
        <v>37.369999999999997</v>
      </c>
      <c r="G109" s="104">
        <v>2493600</v>
      </c>
      <c r="J109" s="102">
        <v>42323</v>
      </c>
      <c r="K109" s="105">
        <v>3770.47</v>
      </c>
      <c r="L109" s="105">
        <v>3912.05</v>
      </c>
      <c r="M109" s="105">
        <v>3765.58</v>
      </c>
      <c r="N109" s="105">
        <v>3897.45</v>
      </c>
      <c r="O109" s="105">
        <v>3897.45</v>
      </c>
      <c r="P109" s="103" t="s">
        <v>400</v>
      </c>
    </row>
    <row r="110" spans="1:16" ht="15" thickBot="1" x14ac:dyDescent="0.35">
      <c r="A110" s="102">
        <v>42316</v>
      </c>
      <c r="B110" s="103">
        <v>34.659999999999997</v>
      </c>
      <c r="C110" s="103">
        <v>36.979999999999997</v>
      </c>
      <c r="D110" s="103">
        <v>34.46</v>
      </c>
      <c r="E110" s="103">
        <v>36.549999999999997</v>
      </c>
      <c r="F110" s="103">
        <v>36.549999999999997</v>
      </c>
      <c r="G110" s="104">
        <v>1857700</v>
      </c>
      <c r="J110" s="102">
        <v>42316</v>
      </c>
      <c r="K110" s="105">
        <v>3906.87</v>
      </c>
      <c r="L110" s="105">
        <v>3906.87</v>
      </c>
      <c r="M110" s="105">
        <v>3769.85</v>
      </c>
      <c r="N110" s="105">
        <v>3771.59</v>
      </c>
      <c r="O110" s="105">
        <v>3771.59</v>
      </c>
      <c r="P110" s="103" t="s">
        <v>400</v>
      </c>
    </row>
    <row r="111" spans="1:16" ht="15" thickBot="1" x14ac:dyDescent="0.35">
      <c r="A111" s="102">
        <v>42308</v>
      </c>
      <c r="B111" s="103">
        <v>32.18</v>
      </c>
      <c r="C111" s="103">
        <v>34.979999999999997</v>
      </c>
      <c r="D111" s="103">
        <v>32.18</v>
      </c>
      <c r="E111" s="103">
        <v>34.85</v>
      </c>
      <c r="F111" s="103">
        <v>34.85</v>
      </c>
      <c r="G111" s="104">
        <v>1987800</v>
      </c>
      <c r="J111" s="102">
        <v>42308</v>
      </c>
      <c r="K111" s="105">
        <v>3873.94</v>
      </c>
      <c r="L111" s="105">
        <v>3940.51</v>
      </c>
      <c r="M111" s="105">
        <v>3873.94</v>
      </c>
      <c r="N111" s="105">
        <v>3910.98</v>
      </c>
      <c r="O111" s="105">
        <v>3910.98</v>
      </c>
      <c r="P111" s="103" t="s">
        <v>400</v>
      </c>
    </row>
    <row r="112" spans="1:16" ht="15" thickBot="1" x14ac:dyDescent="0.35">
      <c r="A112" s="102">
        <v>42301</v>
      </c>
      <c r="B112" s="103">
        <v>30.07</v>
      </c>
      <c r="C112" s="103">
        <v>33.25</v>
      </c>
      <c r="D112" s="103">
        <v>29.97</v>
      </c>
      <c r="E112" s="103">
        <v>32.15</v>
      </c>
      <c r="F112" s="103">
        <v>32.15</v>
      </c>
      <c r="G112" s="104">
        <v>1643200</v>
      </c>
      <c r="J112" s="102">
        <v>42301</v>
      </c>
      <c r="K112" s="105">
        <v>3862.55</v>
      </c>
      <c r="L112" s="105">
        <v>3899.13</v>
      </c>
      <c r="M112" s="105">
        <v>3832.38</v>
      </c>
      <c r="N112" s="105">
        <v>3871.33</v>
      </c>
      <c r="O112" s="105">
        <v>3871.33</v>
      </c>
      <c r="P112" s="103" t="s">
        <v>400</v>
      </c>
    </row>
    <row r="113" spans="1:16" ht="15" thickBot="1" x14ac:dyDescent="0.35">
      <c r="A113" s="102">
        <v>42294</v>
      </c>
      <c r="B113" s="103">
        <v>30.92</v>
      </c>
      <c r="C113" s="103">
        <v>32.19</v>
      </c>
      <c r="D113" s="103">
        <v>29.77</v>
      </c>
      <c r="E113" s="103">
        <v>30.14</v>
      </c>
      <c r="F113" s="103">
        <v>30.14</v>
      </c>
      <c r="G113" s="104">
        <v>1808000</v>
      </c>
      <c r="J113" s="102">
        <v>42294</v>
      </c>
      <c r="K113" s="105">
        <v>3781.12</v>
      </c>
      <c r="L113" s="105">
        <v>3871.2</v>
      </c>
      <c r="M113" s="105">
        <v>3754.82</v>
      </c>
      <c r="N113" s="105">
        <v>3862.65</v>
      </c>
      <c r="O113" s="105">
        <v>3862.65</v>
      </c>
      <c r="P113" s="103" t="s">
        <v>400</v>
      </c>
    </row>
    <row r="114" spans="1:16" ht="15" thickBot="1" x14ac:dyDescent="0.35">
      <c r="A114" s="102">
        <v>42287</v>
      </c>
      <c r="B114" s="103">
        <v>30.67</v>
      </c>
      <c r="C114" s="103">
        <v>31.92</v>
      </c>
      <c r="D114" s="103">
        <v>29.23</v>
      </c>
      <c r="E114" s="103">
        <v>30.96</v>
      </c>
      <c r="F114" s="103">
        <v>30.96</v>
      </c>
      <c r="G114" s="104">
        <v>1341500</v>
      </c>
      <c r="J114" s="102">
        <v>42287</v>
      </c>
      <c r="K114" s="105">
        <v>3750.37</v>
      </c>
      <c r="L114" s="105">
        <v>3784.4</v>
      </c>
      <c r="M114" s="105">
        <v>3704.61</v>
      </c>
      <c r="N114" s="105">
        <v>3783.64</v>
      </c>
      <c r="O114" s="105">
        <v>3783.64</v>
      </c>
      <c r="P114" s="103" t="s">
        <v>400</v>
      </c>
    </row>
    <row r="115" spans="1:16" ht="15" thickBot="1" x14ac:dyDescent="0.35">
      <c r="A115" s="102">
        <v>42280</v>
      </c>
      <c r="B115" s="103">
        <v>29</v>
      </c>
      <c r="C115" s="103">
        <v>31.16</v>
      </c>
      <c r="D115" s="103">
        <v>27.68</v>
      </c>
      <c r="E115" s="103">
        <v>30.49</v>
      </c>
      <c r="F115" s="103">
        <v>30.49</v>
      </c>
      <c r="G115" s="104">
        <v>1318300</v>
      </c>
      <c r="J115" s="102">
        <v>42280</v>
      </c>
      <c r="K115" s="105">
        <v>3634.75</v>
      </c>
      <c r="L115" s="105">
        <v>3758.7</v>
      </c>
      <c r="M115" s="105">
        <v>3634.75</v>
      </c>
      <c r="N115" s="105">
        <v>3748.96</v>
      </c>
      <c r="O115" s="105">
        <v>3748.96</v>
      </c>
      <c r="P115" s="103" t="s">
        <v>400</v>
      </c>
    </row>
    <row r="116" spans="1:16" ht="15" thickBot="1" x14ac:dyDescent="0.35">
      <c r="A116" s="102">
        <v>42273</v>
      </c>
      <c r="B116" s="103">
        <v>29.24</v>
      </c>
      <c r="C116" s="103">
        <v>30.27</v>
      </c>
      <c r="D116" s="103">
        <v>27.69</v>
      </c>
      <c r="E116" s="103">
        <v>28.86</v>
      </c>
      <c r="F116" s="103">
        <v>28.86</v>
      </c>
      <c r="G116" s="104">
        <v>1852100</v>
      </c>
      <c r="J116" s="102">
        <v>42273</v>
      </c>
      <c r="K116" s="105">
        <v>3586.73</v>
      </c>
      <c r="L116" s="105">
        <v>3629.04</v>
      </c>
      <c r="M116" s="105">
        <v>3480.54</v>
      </c>
      <c r="N116" s="105">
        <v>3629.04</v>
      </c>
      <c r="O116" s="105">
        <v>3629.04</v>
      </c>
      <c r="P116" s="103" t="s">
        <v>400</v>
      </c>
    </row>
    <row r="117" spans="1:16" ht="15" thickBot="1" x14ac:dyDescent="0.35">
      <c r="A117" s="102">
        <v>42266</v>
      </c>
      <c r="B117" s="103">
        <v>32.32</v>
      </c>
      <c r="C117" s="103">
        <v>32.729999999999997</v>
      </c>
      <c r="D117" s="103">
        <v>29.06</v>
      </c>
      <c r="E117" s="103">
        <v>29.43</v>
      </c>
      <c r="F117" s="103">
        <v>29.43</v>
      </c>
      <c r="G117" s="104">
        <v>1261900</v>
      </c>
      <c r="J117" s="102">
        <v>42266</v>
      </c>
      <c r="K117" s="105">
        <v>3644.24</v>
      </c>
      <c r="L117" s="105">
        <v>3679.18</v>
      </c>
      <c r="M117" s="105">
        <v>3548.06</v>
      </c>
      <c r="N117" s="105">
        <v>3589.71</v>
      </c>
      <c r="O117" s="105">
        <v>3589.71</v>
      </c>
      <c r="P117" s="103" t="s">
        <v>400</v>
      </c>
    </row>
    <row r="118" spans="1:16" ht="15" thickBot="1" x14ac:dyDescent="0.35">
      <c r="A118" s="102">
        <v>42259</v>
      </c>
      <c r="B118" s="103">
        <v>32.68</v>
      </c>
      <c r="C118" s="103">
        <v>33.1</v>
      </c>
      <c r="D118" s="103">
        <v>31.75</v>
      </c>
      <c r="E118" s="103">
        <v>32.17</v>
      </c>
      <c r="F118" s="103">
        <v>32.17</v>
      </c>
      <c r="G118" s="104">
        <v>1206900</v>
      </c>
      <c r="J118" s="102">
        <v>42259</v>
      </c>
      <c r="K118" s="105">
        <v>3647.51</v>
      </c>
      <c r="L118" s="105">
        <v>3755.47</v>
      </c>
      <c r="M118" s="105">
        <v>3620.22</v>
      </c>
      <c r="N118" s="105">
        <v>3638.99</v>
      </c>
      <c r="O118" s="105">
        <v>3638.99</v>
      </c>
      <c r="P118" s="103" t="s">
        <v>400</v>
      </c>
    </row>
    <row r="119" spans="1:16" ht="15" thickBot="1" x14ac:dyDescent="0.35">
      <c r="A119" s="102">
        <v>42252</v>
      </c>
      <c r="B119" s="103">
        <v>32.76</v>
      </c>
      <c r="C119" s="103">
        <v>33.409999999999997</v>
      </c>
      <c r="D119" s="103">
        <v>31.79</v>
      </c>
      <c r="E119" s="103">
        <v>32.58</v>
      </c>
      <c r="F119" s="103">
        <v>32.58</v>
      </c>
      <c r="G119" s="104">
        <v>1178100</v>
      </c>
      <c r="J119" s="102">
        <v>42252</v>
      </c>
      <c r="K119" s="105">
        <v>3579.12</v>
      </c>
      <c r="L119" s="105">
        <v>3693.24</v>
      </c>
      <c r="M119" s="105">
        <v>3579.12</v>
      </c>
      <c r="N119" s="105">
        <v>3643.54</v>
      </c>
      <c r="O119" s="105">
        <v>3643.54</v>
      </c>
      <c r="P119" s="103" t="s">
        <v>400</v>
      </c>
    </row>
    <row r="120" spans="1:16" ht="15" thickBot="1" x14ac:dyDescent="0.35">
      <c r="A120" s="102">
        <v>42245</v>
      </c>
      <c r="B120" s="103">
        <v>34.409999999999997</v>
      </c>
      <c r="C120" s="103">
        <v>35.46</v>
      </c>
      <c r="D120" s="103">
        <v>32.07</v>
      </c>
      <c r="E120" s="103">
        <v>32.49</v>
      </c>
      <c r="F120" s="103">
        <v>32.49</v>
      </c>
      <c r="G120" s="104">
        <v>1664800</v>
      </c>
      <c r="J120" s="102">
        <v>42245</v>
      </c>
      <c r="K120" s="105">
        <v>3687.75</v>
      </c>
      <c r="L120" s="105">
        <v>3687.75</v>
      </c>
      <c r="M120" s="105">
        <v>3532.7</v>
      </c>
      <c r="N120" s="105">
        <v>3567.41</v>
      </c>
      <c r="O120" s="105">
        <v>3567.41</v>
      </c>
      <c r="P120" s="103" t="s">
        <v>400</v>
      </c>
    </row>
    <row r="121" spans="1:16" ht="15" thickBot="1" x14ac:dyDescent="0.35">
      <c r="A121" s="102">
        <v>42238</v>
      </c>
      <c r="B121" s="103">
        <v>31.87</v>
      </c>
      <c r="C121" s="103">
        <v>35.979999999999997</v>
      </c>
      <c r="D121" s="103">
        <v>31.64</v>
      </c>
      <c r="E121" s="103">
        <v>34.64</v>
      </c>
      <c r="F121" s="103">
        <v>34.64</v>
      </c>
      <c r="G121" s="104">
        <v>2194600</v>
      </c>
      <c r="J121" s="102">
        <v>42238</v>
      </c>
      <c r="K121" s="105">
        <v>3646.11</v>
      </c>
      <c r="L121" s="105">
        <v>3699.85</v>
      </c>
      <c r="M121" s="105">
        <v>3464.03</v>
      </c>
      <c r="N121" s="105">
        <v>3691.3</v>
      </c>
      <c r="O121" s="105">
        <v>3691.3</v>
      </c>
      <c r="P121" s="103" t="s">
        <v>400</v>
      </c>
    </row>
    <row r="122" spans="1:16" ht="15" thickBot="1" x14ac:dyDescent="0.35">
      <c r="A122" s="102">
        <v>42231</v>
      </c>
      <c r="B122" s="103">
        <v>34.08</v>
      </c>
      <c r="C122" s="103">
        <v>35.11</v>
      </c>
      <c r="D122" s="103">
        <v>31.59</v>
      </c>
      <c r="E122" s="103">
        <v>33.479999999999997</v>
      </c>
      <c r="F122" s="103">
        <v>33.479999999999997</v>
      </c>
      <c r="G122" s="104">
        <v>1175800</v>
      </c>
      <c r="J122" s="102">
        <v>42231</v>
      </c>
      <c r="K122" s="105">
        <v>3875.49</v>
      </c>
      <c r="L122" s="105">
        <v>3901.73</v>
      </c>
      <c r="M122" s="105">
        <v>3656.67</v>
      </c>
      <c r="N122" s="105">
        <v>3656.67</v>
      </c>
      <c r="O122" s="105">
        <v>3656.67</v>
      </c>
      <c r="P122" s="103" t="s">
        <v>400</v>
      </c>
    </row>
    <row r="123" spans="1:16" ht="15" thickBot="1" x14ac:dyDescent="0.35">
      <c r="A123" s="102">
        <v>42224</v>
      </c>
      <c r="B123" s="103">
        <v>34.76</v>
      </c>
      <c r="C123" s="103">
        <v>36.200000000000003</v>
      </c>
      <c r="D123" s="103">
        <v>33.68</v>
      </c>
      <c r="E123" s="103">
        <v>34.159999999999997</v>
      </c>
      <c r="F123" s="103">
        <v>34.159999999999997</v>
      </c>
      <c r="G123" s="104">
        <v>1630600</v>
      </c>
      <c r="J123" s="102">
        <v>42224</v>
      </c>
      <c r="K123" s="105">
        <v>3856.37</v>
      </c>
      <c r="L123" s="105">
        <v>3901.49</v>
      </c>
      <c r="M123" s="105">
        <v>3804.6</v>
      </c>
      <c r="N123" s="105">
        <v>3878.16</v>
      </c>
      <c r="O123" s="105">
        <v>3878.16</v>
      </c>
      <c r="P123" s="103" t="s">
        <v>400</v>
      </c>
    </row>
    <row r="124" spans="1:16" ht="15" thickBot="1" x14ac:dyDescent="0.35">
      <c r="A124" s="102">
        <v>42217</v>
      </c>
      <c r="B124" s="103">
        <v>32.96</v>
      </c>
      <c r="C124" s="103">
        <v>35.49</v>
      </c>
      <c r="D124" s="103">
        <v>32.299999999999997</v>
      </c>
      <c r="E124" s="103">
        <v>34.43</v>
      </c>
      <c r="F124" s="103">
        <v>34.43</v>
      </c>
      <c r="G124" s="104">
        <v>1399500</v>
      </c>
      <c r="J124" s="102">
        <v>42217</v>
      </c>
      <c r="K124" s="105">
        <v>3897.01</v>
      </c>
      <c r="L124" s="105">
        <v>3913.73</v>
      </c>
      <c r="M124" s="105">
        <v>3832.06</v>
      </c>
      <c r="N124" s="105">
        <v>3849.96</v>
      </c>
      <c r="O124" s="105">
        <v>3849.96</v>
      </c>
      <c r="P124" s="103" t="s">
        <v>400</v>
      </c>
    </row>
    <row r="125" spans="1:16" ht="15" thickBot="1" x14ac:dyDescent="0.35">
      <c r="A125" s="102">
        <v>42210</v>
      </c>
      <c r="B125" s="103">
        <v>32.590000000000003</v>
      </c>
      <c r="C125" s="103">
        <v>33.93</v>
      </c>
      <c r="D125" s="103">
        <v>31.45</v>
      </c>
      <c r="E125" s="103">
        <v>32.83</v>
      </c>
      <c r="F125" s="103">
        <v>32.83</v>
      </c>
      <c r="G125" s="104">
        <v>842800</v>
      </c>
      <c r="J125" s="102">
        <v>42210</v>
      </c>
      <c r="K125" s="105">
        <v>3847.46</v>
      </c>
      <c r="L125" s="105">
        <v>3915.03</v>
      </c>
      <c r="M125" s="105">
        <v>3820.32</v>
      </c>
      <c r="N125" s="105">
        <v>3895.8</v>
      </c>
      <c r="O125" s="105">
        <v>3895.8</v>
      </c>
      <c r="P125" s="103" t="s">
        <v>400</v>
      </c>
    </row>
    <row r="126" spans="1:16" ht="15" thickBot="1" x14ac:dyDescent="0.35">
      <c r="A126" s="102">
        <v>42203</v>
      </c>
      <c r="B126" s="103">
        <v>34.5</v>
      </c>
      <c r="C126" s="103">
        <v>34.5</v>
      </c>
      <c r="D126" s="103">
        <v>32.590000000000003</v>
      </c>
      <c r="E126" s="103">
        <v>32.81</v>
      </c>
      <c r="F126" s="103">
        <v>32.81</v>
      </c>
      <c r="G126" s="104">
        <v>1225300</v>
      </c>
      <c r="J126" s="102">
        <v>42203</v>
      </c>
      <c r="K126" s="105">
        <v>3936.7</v>
      </c>
      <c r="L126" s="105">
        <v>3947.73</v>
      </c>
      <c r="M126" s="105">
        <v>3845.49</v>
      </c>
      <c r="N126" s="105">
        <v>3850.15</v>
      </c>
      <c r="O126" s="105">
        <v>3850.15</v>
      </c>
      <c r="P126" s="103" t="s">
        <v>400</v>
      </c>
    </row>
    <row r="127" spans="1:16" ht="15" thickBot="1" x14ac:dyDescent="0.35">
      <c r="A127" s="102">
        <v>42196</v>
      </c>
      <c r="B127" s="103">
        <v>34</v>
      </c>
      <c r="C127" s="103">
        <v>34.49</v>
      </c>
      <c r="D127" s="103">
        <v>33.26</v>
      </c>
      <c r="E127" s="103">
        <v>34.44</v>
      </c>
      <c r="F127" s="103">
        <v>34.44</v>
      </c>
      <c r="G127" s="104">
        <v>1473000</v>
      </c>
      <c r="J127" s="102">
        <v>42196</v>
      </c>
      <c r="K127" s="105">
        <v>3849.76</v>
      </c>
      <c r="L127" s="105">
        <v>3939.75</v>
      </c>
      <c r="M127" s="105">
        <v>3849.76</v>
      </c>
      <c r="N127" s="105">
        <v>3936.22</v>
      </c>
      <c r="O127" s="105">
        <v>3936.22</v>
      </c>
      <c r="P127" s="103" t="s">
        <v>400</v>
      </c>
    </row>
    <row r="128" spans="1:16" ht="15" thickBot="1" x14ac:dyDescent="0.35">
      <c r="A128" s="102">
        <v>42189</v>
      </c>
      <c r="B128" s="103">
        <v>32.04</v>
      </c>
      <c r="C128" s="103">
        <v>33.979999999999997</v>
      </c>
      <c r="D128" s="103">
        <v>31.75</v>
      </c>
      <c r="E128" s="103">
        <v>33.85</v>
      </c>
      <c r="F128" s="103">
        <v>33.85</v>
      </c>
      <c r="G128" s="104">
        <v>1071100</v>
      </c>
      <c r="J128" s="102">
        <v>42189</v>
      </c>
      <c r="K128" s="105">
        <v>3836.95</v>
      </c>
      <c r="L128" s="105">
        <v>3855.06</v>
      </c>
      <c r="M128" s="105">
        <v>3781.63</v>
      </c>
      <c r="N128" s="105">
        <v>3843.1</v>
      </c>
      <c r="O128" s="105">
        <v>3843.1</v>
      </c>
      <c r="P128" s="103" t="s">
        <v>400</v>
      </c>
    </row>
    <row r="129" spans="1:16" ht="15" thickBot="1" x14ac:dyDescent="0.35">
      <c r="A129" s="102">
        <v>42182</v>
      </c>
      <c r="B129" s="103">
        <v>33.090000000000003</v>
      </c>
      <c r="C129" s="103">
        <v>33.51</v>
      </c>
      <c r="D129" s="103">
        <v>31.73</v>
      </c>
      <c r="E129" s="103">
        <v>32.36</v>
      </c>
      <c r="F129" s="103">
        <v>32.36</v>
      </c>
      <c r="G129" s="104">
        <v>954100</v>
      </c>
      <c r="J129" s="102">
        <v>42182</v>
      </c>
      <c r="K129" s="105">
        <v>3881.3</v>
      </c>
      <c r="L129" s="105">
        <v>3881.3</v>
      </c>
      <c r="M129" s="105">
        <v>3803.31</v>
      </c>
      <c r="N129" s="105">
        <v>3842.06</v>
      </c>
      <c r="O129" s="105">
        <v>3842.06</v>
      </c>
      <c r="P129" s="103" t="s">
        <v>400</v>
      </c>
    </row>
    <row r="130" spans="1:16" ht="15" thickBot="1" x14ac:dyDescent="0.35">
      <c r="A130" s="102">
        <v>42175</v>
      </c>
      <c r="B130" s="103">
        <v>32.92</v>
      </c>
      <c r="C130" s="103">
        <v>33.840000000000003</v>
      </c>
      <c r="D130" s="103">
        <v>32.54</v>
      </c>
      <c r="E130" s="103">
        <v>33.590000000000003</v>
      </c>
      <c r="F130" s="103">
        <v>33.590000000000003</v>
      </c>
      <c r="G130" s="104">
        <v>1439600</v>
      </c>
      <c r="J130" s="102">
        <v>42175</v>
      </c>
      <c r="K130" s="105">
        <v>3905.28</v>
      </c>
      <c r="L130" s="105">
        <v>3937.37</v>
      </c>
      <c r="M130" s="105">
        <v>3874.92</v>
      </c>
      <c r="N130" s="105">
        <v>3886.21</v>
      </c>
      <c r="O130" s="105">
        <v>3886.21</v>
      </c>
      <c r="P130" s="103" t="s">
        <v>400</v>
      </c>
    </row>
    <row r="131" spans="1:16" ht="15" thickBot="1" x14ac:dyDescent="0.35">
      <c r="A131" s="102">
        <v>42168</v>
      </c>
      <c r="B131" s="103">
        <v>31.5</v>
      </c>
      <c r="C131" s="103">
        <v>32.880000000000003</v>
      </c>
      <c r="D131" s="103">
        <v>30.85</v>
      </c>
      <c r="E131" s="103">
        <v>32.770000000000003</v>
      </c>
      <c r="F131" s="103">
        <v>32.770000000000003</v>
      </c>
      <c r="G131" s="104">
        <v>1253800</v>
      </c>
      <c r="J131" s="102">
        <v>42168</v>
      </c>
      <c r="K131" s="105">
        <v>3865.53</v>
      </c>
      <c r="L131" s="105">
        <v>3931.36</v>
      </c>
      <c r="M131" s="105">
        <v>3830.71</v>
      </c>
      <c r="N131" s="105">
        <v>3900.64</v>
      </c>
      <c r="O131" s="105">
        <v>3900.64</v>
      </c>
      <c r="P131" s="103" t="s">
        <v>400</v>
      </c>
    </row>
    <row r="132" spans="1:16" ht="15" thickBot="1" x14ac:dyDescent="0.35">
      <c r="A132" s="102">
        <v>42161</v>
      </c>
      <c r="B132" s="103">
        <v>32.119999999999997</v>
      </c>
      <c r="C132" s="103">
        <v>32.72</v>
      </c>
      <c r="D132" s="103">
        <v>31.44</v>
      </c>
      <c r="E132" s="103">
        <v>31.84</v>
      </c>
      <c r="F132" s="103">
        <v>31.84</v>
      </c>
      <c r="G132" s="104">
        <v>1051600</v>
      </c>
      <c r="J132" s="102">
        <v>42161</v>
      </c>
      <c r="K132" s="105">
        <v>3865.57</v>
      </c>
      <c r="L132" s="105">
        <v>3908.9</v>
      </c>
      <c r="M132" s="105">
        <v>3828.39</v>
      </c>
      <c r="N132" s="105">
        <v>3870.56</v>
      </c>
      <c r="O132" s="105">
        <v>3870.56</v>
      </c>
      <c r="P132" s="103" t="s">
        <v>400</v>
      </c>
    </row>
    <row r="133" spans="1:16" ht="15" thickBot="1" x14ac:dyDescent="0.35">
      <c r="A133" s="102">
        <v>42154</v>
      </c>
      <c r="B133" s="103">
        <v>31.88</v>
      </c>
      <c r="C133" s="103">
        <v>32.450000000000003</v>
      </c>
      <c r="D133" s="103">
        <v>30.72</v>
      </c>
      <c r="E133" s="103">
        <v>32.159999999999997</v>
      </c>
      <c r="F133" s="103">
        <v>32.159999999999997</v>
      </c>
      <c r="G133" s="104">
        <v>1675600</v>
      </c>
      <c r="J133" s="102">
        <v>42154</v>
      </c>
      <c r="K133" s="105">
        <v>3893.88</v>
      </c>
      <c r="L133" s="105">
        <v>3919.3</v>
      </c>
      <c r="M133" s="105">
        <v>3852.66</v>
      </c>
      <c r="N133" s="105">
        <v>3865.83</v>
      </c>
      <c r="O133" s="105">
        <v>3865.83</v>
      </c>
      <c r="P133" s="103" t="s">
        <v>400</v>
      </c>
    </row>
    <row r="134" spans="1:16" ht="15" thickBot="1" x14ac:dyDescent="0.35">
      <c r="A134" s="102">
        <v>42147</v>
      </c>
      <c r="B134" s="103">
        <v>30.65</v>
      </c>
      <c r="C134" s="103">
        <v>31.98</v>
      </c>
      <c r="D134" s="103">
        <v>29</v>
      </c>
      <c r="E134" s="103">
        <v>31.86</v>
      </c>
      <c r="F134" s="103">
        <v>31.86</v>
      </c>
      <c r="G134" s="104">
        <v>1100600</v>
      </c>
      <c r="J134" s="102">
        <v>42147</v>
      </c>
      <c r="K134" s="105">
        <v>3922.9</v>
      </c>
      <c r="L134" s="105">
        <v>3925.13</v>
      </c>
      <c r="M134" s="105">
        <v>3874.63</v>
      </c>
      <c r="N134" s="105">
        <v>3891.18</v>
      </c>
      <c r="O134" s="105">
        <v>3891.18</v>
      </c>
      <c r="P134" s="103" t="s">
        <v>400</v>
      </c>
    </row>
    <row r="135" spans="1:16" ht="15" thickBot="1" x14ac:dyDescent="0.35">
      <c r="A135" s="102">
        <v>42140</v>
      </c>
      <c r="B135" s="103">
        <v>30.67</v>
      </c>
      <c r="C135" s="103">
        <v>31.59</v>
      </c>
      <c r="D135" s="103">
        <v>30.41</v>
      </c>
      <c r="E135" s="103">
        <v>30.8</v>
      </c>
      <c r="F135" s="103">
        <v>30.8</v>
      </c>
      <c r="G135" s="104">
        <v>996800</v>
      </c>
      <c r="J135" s="102">
        <v>42140</v>
      </c>
      <c r="K135" s="105">
        <v>3913.57</v>
      </c>
      <c r="L135" s="105">
        <v>3939.46</v>
      </c>
      <c r="M135" s="105">
        <v>3911.21</v>
      </c>
      <c r="N135" s="105">
        <v>3924.16</v>
      </c>
      <c r="O135" s="105">
        <v>3924.16</v>
      </c>
      <c r="P135" s="103" t="s">
        <v>400</v>
      </c>
    </row>
    <row r="136" spans="1:16" ht="15" thickBot="1" x14ac:dyDescent="0.35">
      <c r="A136" s="102">
        <v>42133</v>
      </c>
      <c r="B136" s="103">
        <v>30.33</v>
      </c>
      <c r="C136" s="103">
        <v>31.27</v>
      </c>
      <c r="D136" s="103">
        <v>29.39</v>
      </c>
      <c r="E136" s="103">
        <v>30.72</v>
      </c>
      <c r="F136" s="103">
        <v>30.72</v>
      </c>
      <c r="G136" s="104">
        <v>1337500</v>
      </c>
      <c r="J136" s="102">
        <v>42133</v>
      </c>
      <c r="K136" s="105">
        <v>3900.8</v>
      </c>
      <c r="L136" s="105">
        <v>3918.03</v>
      </c>
      <c r="M136" s="105">
        <v>3845.75</v>
      </c>
      <c r="N136" s="105">
        <v>3915.99</v>
      </c>
      <c r="O136" s="105">
        <v>3915.99</v>
      </c>
      <c r="P136" s="103" t="s">
        <v>400</v>
      </c>
    </row>
    <row r="137" spans="1:16" ht="15" thickBot="1" x14ac:dyDescent="0.35">
      <c r="A137" s="102">
        <v>42126</v>
      </c>
      <c r="B137" s="103">
        <v>30.74</v>
      </c>
      <c r="C137" s="103">
        <v>31.75</v>
      </c>
      <c r="D137" s="103">
        <v>29.26</v>
      </c>
      <c r="E137" s="103">
        <v>30.29</v>
      </c>
      <c r="F137" s="103">
        <v>30.29</v>
      </c>
      <c r="G137" s="104">
        <v>1407800</v>
      </c>
      <c r="J137" s="102">
        <v>42126</v>
      </c>
      <c r="K137" s="105">
        <v>3887.32</v>
      </c>
      <c r="L137" s="105">
        <v>3907.07</v>
      </c>
      <c r="M137" s="105">
        <v>3811.27</v>
      </c>
      <c r="N137" s="105">
        <v>3901.01</v>
      </c>
      <c r="O137" s="105">
        <v>3901.01</v>
      </c>
      <c r="P137" s="103" t="s">
        <v>400</v>
      </c>
    </row>
    <row r="138" spans="1:16" ht="15" thickBot="1" x14ac:dyDescent="0.35">
      <c r="A138" s="102">
        <v>42119</v>
      </c>
      <c r="B138" s="103">
        <v>30.79</v>
      </c>
      <c r="C138" s="103">
        <v>31.33</v>
      </c>
      <c r="D138" s="103">
        <v>29.31</v>
      </c>
      <c r="E138" s="103">
        <v>30.74</v>
      </c>
      <c r="F138" s="103">
        <v>30.74</v>
      </c>
      <c r="G138" s="104">
        <v>1330800</v>
      </c>
      <c r="J138" s="102">
        <v>42119</v>
      </c>
      <c r="K138" s="105">
        <v>3903.2</v>
      </c>
      <c r="L138" s="105">
        <v>3915.37</v>
      </c>
      <c r="M138" s="105">
        <v>3827.18</v>
      </c>
      <c r="N138" s="105">
        <v>3883.75</v>
      </c>
      <c r="O138" s="105">
        <v>3883.75</v>
      </c>
      <c r="P138" s="103" t="s">
        <v>400</v>
      </c>
    </row>
    <row r="139" spans="1:16" ht="15" thickBot="1" x14ac:dyDescent="0.35">
      <c r="A139" s="102">
        <v>42112</v>
      </c>
      <c r="B139" s="103">
        <v>29.59</v>
      </c>
      <c r="C139" s="103">
        <v>31</v>
      </c>
      <c r="D139" s="103">
        <v>29.25</v>
      </c>
      <c r="E139" s="103">
        <v>30.61</v>
      </c>
      <c r="F139" s="103">
        <v>30.61</v>
      </c>
      <c r="G139" s="104">
        <v>921900</v>
      </c>
      <c r="J139" s="102">
        <v>42112</v>
      </c>
      <c r="K139" s="105">
        <v>3837.82</v>
      </c>
      <c r="L139" s="105">
        <v>3906.19</v>
      </c>
      <c r="M139" s="105">
        <v>3837.82</v>
      </c>
      <c r="N139" s="105">
        <v>3900.24</v>
      </c>
      <c r="O139" s="105">
        <v>3900.24</v>
      </c>
      <c r="P139" s="103" t="s">
        <v>400</v>
      </c>
    </row>
    <row r="140" spans="1:16" ht="15" thickBot="1" x14ac:dyDescent="0.35">
      <c r="A140" s="102">
        <v>42105</v>
      </c>
      <c r="B140" s="103">
        <v>29.24</v>
      </c>
      <c r="C140" s="103">
        <v>30.7</v>
      </c>
      <c r="D140" s="103">
        <v>29.15</v>
      </c>
      <c r="E140" s="103">
        <v>29.49</v>
      </c>
      <c r="F140" s="103">
        <v>29.49</v>
      </c>
      <c r="G140" s="104">
        <v>1067600</v>
      </c>
      <c r="J140" s="102">
        <v>42105</v>
      </c>
      <c r="K140" s="105">
        <v>3870.61</v>
      </c>
      <c r="L140" s="105">
        <v>3888.77</v>
      </c>
      <c r="M140" s="105">
        <v>3816.15</v>
      </c>
      <c r="N140" s="105">
        <v>3832.33</v>
      </c>
      <c r="O140" s="105">
        <v>3832.33</v>
      </c>
      <c r="P140" s="103" t="s">
        <v>400</v>
      </c>
    </row>
    <row r="141" spans="1:16" ht="15" thickBot="1" x14ac:dyDescent="0.35">
      <c r="A141" s="102">
        <v>42098</v>
      </c>
      <c r="B141" s="103">
        <v>29.18</v>
      </c>
      <c r="C141" s="103">
        <v>29.73</v>
      </c>
      <c r="D141" s="103">
        <v>28.33</v>
      </c>
      <c r="E141" s="103">
        <v>29.27</v>
      </c>
      <c r="F141" s="103">
        <v>29.27</v>
      </c>
      <c r="G141" s="104">
        <v>1154500</v>
      </c>
      <c r="J141" s="102">
        <v>42098</v>
      </c>
      <c r="K141" s="105">
        <v>3800.33</v>
      </c>
      <c r="L141" s="105">
        <v>3871.34</v>
      </c>
      <c r="M141" s="105">
        <v>3785.4</v>
      </c>
      <c r="N141" s="105">
        <v>3870.31</v>
      </c>
      <c r="O141" s="105">
        <v>3870.31</v>
      </c>
      <c r="P141" s="103" t="s">
        <v>400</v>
      </c>
    </row>
    <row r="142" spans="1:16" ht="15" thickBot="1" x14ac:dyDescent="0.35">
      <c r="A142" s="102">
        <v>42091</v>
      </c>
      <c r="B142" s="103">
        <v>28.82</v>
      </c>
      <c r="C142" s="103">
        <v>29.87</v>
      </c>
      <c r="D142" s="103">
        <v>28.39</v>
      </c>
      <c r="E142" s="103">
        <v>29.32</v>
      </c>
      <c r="F142" s="103">
        <v>29.32</v>
      </c>
      <c r="G142" s="104">
        <v>946700</v>
      </c>
      <c r="J142" s="102">
        <v>42091</v>
      </c>
      <c r="K142" s="105">
        <v>3797.94</v>
      </c>
      <c r="L142" s="105">
        <v>3843.68</v>
      </c>
      <c r="M142" s="105">
        <v>3769.88</v>
      </c>
      <c r="N142" s="105">
        <v>3804.14</v>
      </c>
      <c r="O142" s="105">
        <v>3804.14</v>
      </c>
      <c r="P142" s="103" t="s">
        <v>400</v>
      </c>
    </row>
    <row r="143" spans="1:16" ht="15" thickBot="1" x14ac:dyDescent="0.35">
      <c r="A143" s="102">
        <v>42084</v>
      </c>
      <c r="B143" s="103">
        <v>29.64</v>
      </c>
      <c r="C143" s="103">
        <v>30.36</v>
      </c>
      <c r="D143" s="103">
        <v>26.83</v>
      </c>
      <c r="E143" s="103">
        <v>28.52</v>
      </c>
      <c r="F143" s="103">
        <v>28.52</v>
      </c>
      <c r="G143" s="104">
        <v>1481400</v>
      </c>
      <c r="J143" s="102">
        <v>42084</v>
      </c>
      <c r="K143" s="105">
        <v>3877.06</v>
      </c>
      <c r="L143" s="105">
        <v>3889.69</v>
      </c>
      <c r="M143" s="105">
        <v>3762.73</v>
      </c>
      <c r="N143" s="105">
        <v>3791.9</v>
      </c>
      <c r="O143" s="105">
        <v>3791.9</v>
      </c>
      <c r="P143" s="103" t="s">
        <v>400</v>
      </c>
    </row>
    <row r="144" spans="1:16" ht="15" thickBot="1" x14ac:dyDescent="0.35">
      <c r="A144" s="102">
        <v>42077</v>
      </c>
      <c r="B144" s="103">
        <v>29.42</v>
      </c>
      <c r="C144" s="103">
        <v>30.96</v>
      </c>
      <c r="D144" s="103">
        <v>28.85</v>
      </c>
      <c r="E144" s="103">
        <v>29.7</v>
      </c>
      <c r="F144" s="103">
        <v>29.7</v>
      </c>
      <c r="G144" s="104">
        <v>1764300</v>
      </c>
      <c r="J144" s="102">
        <v>42077</v>
      </c>
      <c r="K144" s="105">
        <v>3780.09</v>
      </c>
      <c r="L144" s="105">
        <v>3887.96</v>
      </c>
      <c r="M144" s="105">
        <v>3780.09</v>
      </c>
      <c r="N144" s="105">
        <v>3877.26</v>
      </c>
      <c r="O144" s="105">
        <v>3877.26</v>
      </c>
      <c r="P144" s="103" t="s">
        <v>400</v>
      </c>
    </row>
    <row r="145" spans="1:16" ht="15" thickBot="1" x14ac:dyDescent="0.35">
      <c r="A145" s="102">
        <v>42071</v>
      </c>
      <c r="B145" s="103">
        <v>28.55</v>
      </c>
      <c r="C145" s="103">
        <v>29.33</v>
      </c>
      <c r="D145" s="103">
        <v>27.92</v>
      </c>
      <c r="E145" s="103">
        <v>29.21</v>
      </c>
      <c r="F145" s="103">
        <v>29.21</v>
      </c>
      <c r="G145" s="104">
        <v>1388200</v>
      </c>
      <c r="J145" s="102">
        <v>42071</v>
      </c>
      <c r="K145" s="105">
        <v>3809.23</v>
      </c>
      <c r="L145" s="105">
        <v>3829.89</v>
      </c>
      <c r="M145" s="105">
        <v>3750.29</v>
      </c>
      <c r="N145" s="105">
        <v>3776.44</v>
      </c>
      <c r="O145" s="105">
        <v>3776.44</v>
      </c>
      <c r="P145" s="103" t="s">
        <v>400</v>
      </c>
    </row>
    <row r="146" spans="1:16" ht="15" thickBot="1" x14ac:dyDescent="0.35">
      <c r="A146" s="102">
        <v>42064</v>
      </c>
      <c r="B146" s="103">
        <v>29.92</v>
      </c>
      <c r="C146" s="103">
        <v>30.42</v>
      </c>
      <c r="D146" s="103">
        <v>26.36</v>
      </c>
      <c r="E146" s="103">
        <v>28.42</v>
      </c>
      <c r="F146" s="103">
        <v>28.42</v>
      </c>
      <c r="G146" s="104">
        <v>2765600</v>
      </c>
      <c r="J146" s="102">
        <v>42064</v>
      </c>
      <c r="K146" s="105">
        <v>3867.98</v>
      </c>
      <c r="L146" s="105">
        <v>3890.52</v>
      </c>
      <c r="M146" s="105">
        <v>3799.76</v>
      </c>
      <c r="N146" s="105">
        <v>3807.04</v>
      </c>
      <c r="O146" s="105">
        <v>3807.04</v>
      </c>
      <c r="P146" s="103" t="s">
        <v>400</v>
      </c>
    </row>
    <row r="147" spans="1:16" ht="15" thickBot="1" x14ac:dyDescent="0.35">
      <c r="A147" s="102">
        <v>42057</v>
      </c>
      <c r="B147" s="103">
        <v>30.02</v>
      </c>
      <c r="C147" s="103">
        <v>30.74</v>
      </c>
      <c r="D147" s="103">
        <v>29.26</v>
      </c>
      <c r="E147" s="103">
        <v>29.97</v>
      </c>
      <c r="F147" s="103">
        <v>29.97</v>
      </c>
      <c r="G147" s="104">
        <v>699900</v>
      </c>
      <c r="J147" s="102">
        <v>42057</v>
      </c>
      <c r="K147" s="105">
        <v>3874.78</v>
      </c>
      <c r="L147" s="105">
        <v>3893.44</v>
      </c>
      <c r="M147" s="105">
        <v>3862.23</v>
      </c>
      <c r="N147" s="105">
        <v>3866.42</v>
      </c>
      <c r="O147" s="105">
        <v>3866.42</v>
      </c>
      <c r="P147" s="103" t="s">
        <v>400</v>
      </c>
    </row>
    <row r="148" spans="1:16" ht="15" thickBot="1" x14ac:dyDescent="0.35">
      <c r="A148" s="102">
        <v>42050</v>
      </c>
      <c r="B148" s="103">
        <v>28.9</v>
      </c>
      <c r="C148" s="103">
        <v>30.41</v>
      </c>
      <c r="D148" s="103">
        <v>28.63</v>
      </c>
      <c r="E148" s="103">
        <v>29.98</v>
      </c>
      <c r="F148" s="103">
        <v>29.98</v>
      </c>
      <c r="G148" s="104">
        <v>923900</v>
      </c>
      <c r="J148" s="102">
        <v>42050</v>
      </c>
      <c r="K148" s="105">
        <v>3848.93</v>
      </c>
      <c r="L148" s="105">
        <v>3876.13</v>
      </c>
      <c r="M148" s="105">
        <v>3830.04</v>
      </c>
      <c r="N148" s="105">
        <v>3875.6</v>
      </c>
      <c r="O148" s="105">
        <v>3875.6</v>
      </c>
      <c r="P148" s="103" t="s">
        <v>400</v>
      </c>
    </row>
    <row r="149" spans="1:16" ht="15" thickBot="1" x14ac:dyDescent="0.35">
      <c r="A149" s="102">
        <v>42043</v>
      </c>
      <c r="B149" s="103">
        <v>27.73</v>
      </c>
      <c r="C149" s="103">
        <v>28.98</v>
      </c>
      <c r="D149" s="103">
        <v>27.25</v>
      </c>
      <c r="E149" s="103">
        <v>28.76</v>
      </c>
      <c r="F149" s="103">
        <v>28.76</v>
      </c>
      <c r="G149" s="104">
        <v>1065900</v>
      </c>
      <c r="J149" s="102">
        <v>42043</v>
      </c>
      <c r="K149" s="105">
        <v>3766.7</v>
      </c>
      <c r="L149" s="105">
        <v>3849.33</v>
      </c>
      <c r="M149" s="105">
        <v>3745.44</v>
      </c>
      <c r="N149" s="105">
        <v>3849.29</v>
      </c>
      <c r="O149" s="105">
        <v>3849.29</v>
      </c>
      <c r="P149" s="103" t="s">
        <v>400</v>
      </c>
    </row>
    <row r="150" spans="1:16" ht="15" thickBot="1" x14ac:dyDescent="0.35">
      <c r="A150" s="102">
        <v>42036</v>
      </c>
      <c r="B150" s="103">
        <v>28.03</v>
      </c>
      <c r="C150" s="103">
        <v>28.67</v>
      </c>
      <c r="D150" s="103">
        <v>27.4</v>
      </c>
      <c r="E150" s="103">
        <v>27.77</v>
      </c>
      <c r="F150" s="103">
        <v>27.77</v>
      </c>
      <c r="G150" s="104">
        <v>1010400</v>
      </c>
      <c r="J150" s="102">
        <v>42036</v>
      </c>
      <c r="K150" s="105">
        <v>3659.45</v>
      </c>
      <c r="L150" s="105">
        <v>3801.22</v>
      </c>
      <c r="M150" s="105">
        <v>3630.7</v>
      </c>
      <c r="N150" s="105">
        <v>3770.2</v>
      </c>
      <c r="O150" s="105">
        <v>3770.2</v>
      </c>
      <c r="P150" s="103" t="s">
        <v>400</v>
      </c>
    </row>
    <row r="151" spans="1:16" ht="15" thickBot="1" x14ac:dyDescent="0.35">
      <c r="A151" s="102">
        <v>42029</v>
      </c>
      <c r="B151" s="103">
        <v>28.43</v>
      </c>
      <c r="C151" s="103">
        <v>29</v>
      </c>
      <c r="D151" s="103">
        <v>27.83</v>
      </c>
      <c r="E151" s="103">
        <v>28.03</v>
      </c>
      <c r="F151" s="103">
        <v>28.03</v>
      </c>
      <c r="G151" s="104">
        <v>1075900</v>
      </c>
      <c r="J151" s="102">
        <v>42029</v>
      </c>
      <c r="K151" s="105">
        <v>3757.22</v>
      </c>
      <c r="L151" s="105">
        <v>3770.41</v>
      </c>
      <c r="M151" s="105">
        <v>3645.87</v>
      </c>
      <c r="N151" s="105">
        <v>3656.28</v>
      </c>
      <c r="O151" s="105">
        <v>3656.28</v>
      </c>
      <c r="P151" s="103" t="s">
        <v>400</v>
      </c>
    </row>
    <row r="152" spans="1:16" ht="15" thickBot="1" x14ac:dyDescent="0.35">
      <c r="A152" s="102">
        <v>42022</v>
      </c>
      <c r="B152" s="103">
        <v>28.31</v>
      </c>
      <c r="C152" s="103">
        <v>28.94</v>
      </c>
      <c r="D152" s="103">
        <v>26.72</v>
      </c>
      <c r="E152" s="103">
        <v>28.39</v>
      </c>
      <c r="F152" s="103">
        <v>28.39</v>
      </c>
      <c r="G152" s="104">
        <v>973500</v>
      </c>
      <c r="J152" s="102">
        <v>42022</v>
      </c>
      <c r="K152" s="105">
        <v>3702.37</v>
      </c>
      <c r="L152" s="105">
        <v>3783.21</v>
      </c>
      <c r="M152" s="105">
        <v>3672.58</v>
      </c>
      <c r="N152" s="105">
        <v>3759.76</v>
      </c>
      <c r="O152" s="105">
        <v>3759.76</v>
      </c>
      <c r="P152" s="103" t="s">
        <v>400</v>
      </c>
    </row>
    <row r="153" spans="1:16" ht="15" thickBot="1" x14ac:dyDescent="0.35">
      <c r="A153" s="102">
        <v>42015</v>
      </c>
      <c r="B153" s="103">
        <v>28.2</v>
      </c>
      <c r="C153" s="103">
        <v>28.93</v>
      </c>
      <c r="D153" s="103">
        <v>27.12</v>
      </c>
      <c r="E153" s="103">
        <v>28.17</v>
      </c>
      <c r="F153" s="103">
        <v>28.17</v>
      </c>
      <c r="G153" s="104">
        <v>1088000</v>
      </c>
      <c r="J153" s="102">
        <v>42015</v>
      </c>
      <c r="K153" s="105">
        <v>3748.09</v>
      </c>
      <c r="L153" s="105">
        <v>3768.16</v>
      </c>
      <c r="M153" s="105">
        <v>3642.5</v>
      </c>
      <c r="N153" s="105">
        <v>3699.79</v>
      </c>
      <c r="O153" s="105">
        <v>3699.79</v>
      </c>
      <c r="P153" s="103" t="s">
        <v>400</v>
      </c>
    </row>
    <row r="154" spans="1:16" ht="15" thickBot="1" x14ac:dyDescent="0.35">
      <c r="A154" s="102">
        <v>42008</v>
      </c>
      <c r="B154" s="103">
        <v>26.67</v>
      </c>
      <c r="C154" s="103">
        <v>27.73</v>
      </c>
      <c r="D154" s="103">
        <v>25.97</v>
      </c>
      <c r="E154" s="103">
        <v>27.6</v>
      </c>
      <c r="F154" s="103">
        <v>27.6</v>
      </c>
      <c r="G154" s="104">
        <v>981600</v>
      </c>
      <c r="J154" s="102">
        <v>42008</v>
      </c>
      <c r="K154" s="105">
        <v>3762.04</v>
      </c>
      <c r="L154" s="105">
        <v>3781.5</v>
      </c>
      <c r="M154" s="105">
        <v>3648.53</v>
      </c>
      <c r="N154" s="105">
        <v>3745.67</v>
      </c>
      <c r="O154" s="105">
        <v>3745.67</v>
      </c>
      <c r="P154" s="103" t="s">
        <v>400</v>
      </c>
    </row>
    <row r="155" spans="1:16" ht="15" thickBot="1" x14ac:dyDescent="0.35">
      <c r="A155" s="102">
        <v>42001</v>
      </c>
      <c r="B155" s="103">
        <v>28</v>
      </c>
      <c r="C155" s="103">
        <v>28.08</v>
      </c>
      <c r="D155" s="103">
        <v>26.35</v>
      </c>
      <c r="E155" s="103">
        <v>26.9</v>
      </c>
      <c r="F155" s="103">
        <v>26.9</v>
      </c>
      <c r="G155" s="104">
        <v>408400</v>
      </c>
      <c r="J155" s="102">
        <v>42001</v>
      </c>
      <c r="K155" s="105">
        <v>3821.57</v>
      </c>
      <c r="L155" s="105">
        <v>3832.37</v>
      </c>
      <c r="M155" s="105">
        <v>3746.41</v>
      </c>
      <c r="N155" s="105">
        <v>3768.68</v>
      </c>
      <c r="O155" s="105">
        <v>3768.68</v>
      </c>
      <c r="P155" s="103" t="s">
        <v>400</v>
      </c>
    </row>
    <row r="156" spans="1:16" ht="15" thickBot="1" x14ac:dyDescent="0.35">
      <c r="A156" s="102">
        <v>41994</v>
      </c>
      <c r="B156" s="103">
        <v>27</v>
      </c>
      <c r="C156" s="103">
        <v>28</v>
      </c>
      <c r="D156" s="103">
        <v>25.86</v>
      </c>
      <c r="E156" s="103">
        <v>27.93</v>
      </c>
      <c r="F156" s="103">
        <v>27.93</v>
      </c>
      <c r="G156" s="104">
        <v>505400</v>
      </c>
      <c r="J156" s="102">
        <v>41994</v>
      </c>
      <c r="K156" s="105">
        <v>3787.01</v>
      </c>
      <c r="L156" s="105">
        <v>3830.16</v>
      </c>
      <c r="M156" s="105">
        <v>3787.01</v>
      </c>
      <c r="N156" s="105">
        <v>3823</v>
      </c>
      <c r="O156" s="105">
        <v>3823</v>
      </c>
      <c r="P156" s="103" t="s">
        <v>400</v>
      </c>
    </row>
    <row r="157" spans="1:16" ht="15" thickBot="1" x14ac:dyDescent="0.35">
      <c r="A157" s="102">
        <v>41987</v>
      </c>
      <c r="B157" s="103">
        <v>26.24</v>
      </c>
      <c r="C157" s="103">
        <v>27.85</v>
      </c>
      <c r="D157" s="103">
        <v>24.75</v>
      </c>
      <c r="E157" s="103">
        <v>27.05</v>
      </c>
      <c r="F157" s="103">
        <v>27.05</v>
      </c>
      <c r="G157" s="104">
        <v>1790200</v>
      </c>
      <c r="J157" s="102">
        <v>41987</v>
      </c>
      <c r="K157" s="105">
        <v>3668.14</v>
      </c>
      <c r="L157" s="105">
        <v>3802.15</v>
      </c>
      <c r="M157" s="105">
        <v>3608.74</v>
      </c>
      <c r="N157" s="105">
        <v>3788.97</v>
      </c>
      <c r="O157" s="105">
        <v>3788.97</v>
      </c>
      <c r="P157" s="103" t="s">
        <v>400</v>
      </c>
    </row>
    <row r="158" spans="1:16" ht="15" thickBot="1" x14ac:dyDescent="0.35">
      <c r="A158" s="102">
        <v>41980</v>
      </c>
      <c r="B158" s="103">
        <v>25.75</v>
      </c>
      <c r="C158" s="103">
        <v>26.88</v>
      </c>
      <c r="D158" s="103">
        <v>25.39</v>
      </c>
      <c r="E158" s="103">
        <v>26.04</v>
      </c>
      <c r="F158" s="103">
        <v>26.04</v>
      </c>
      <c r="G158" s="104">
        <v>1205500</v>
      </c>
      <c r="J158" s="102">
        <v>41980</v>
      </c>
      <c r="K158" s="105">
        <v>3794.27</v>
      </c>
      <c r="L158" s="105">
        <v>3795.91</v>
      </c>
      <c r="M158" s="105">
        <v>3663.09</v>
      </c>
      <c r="N158" s="105">
        <v>3663.1</v>
      </c>
      <c r="O158" s="105">
        <v>3663.1</v>
      </c>
      <c r="P158" s="103" t="s">
        <v>400</v>
      </c>
    </row>
    <row r="159" spans="1:16" ht="15" thickBot="1" x14ac:dyDescent="0.35">
      <c r="A159" s="102">
        <v>41973</v>
      </c>
      <c r="B159" s="103">
        <v>24.87</v>
      </c>
      <c r="C159" s="103">
        <v>25.96</v>
      </c>
      <c r="D159" s="103">
        <v>24.74</v>
      </c>
      <c r="E159" s="103">
        <v>25.81</v>
      </c>
      <c r="F159" s="103">
        <v>25.81</v>
      </c>
      <c r="G159" s="104">
        <v>822300</v>
      </c>
      <c r="J159" s="102">
        <v>41973</v>
      </c>
      <c r="K159" s="105">
        <v>3775.87</v>
      </c>
      <c r="L159" s="105">
        <v>3802.14</v>
      </c>
      <c r="M159" s="105">
        <v>3746.31</v>
      </c>
      <c r="N159" s="105">
        <v>3794.68</v>
      </c>
      <c r="O159" s="105">
        <v>3794.68</v>
      </c>
      <c r="P159" s="103" t="s">
        <v>400</v>
      </c>
    </row>
    <row r="160" spans="1:16" ht="15" thickBot="1" x14ac:dyDescent="0.35">
      <c r="A160" s="102">
        <v>41966</v>
      </c>
      <c r="B160" s="103">
        <v>24.53</v>
      </c>
      <c r="C160" s="103">
        <v>25.44</v>
      </c>
      <c r="D160" s="103">
        <v>24.33</v>
      </c>
      <c r="E160" s="103">
        <v>24.86</v>
      </c>
      <c r="F160" s="103">
        <v>24.86</v>
      </c>
      <c r="G160" s="104">
        <v>631300</v>
      </c>
      <c r="J160" s="102">
        <v>41966</v>
      </c>
      <c r="K160" s="105">
        <v>3772.95</v>
      </c>
      <c r="L160" s="105">
        <v>3792.15</v>
      </c>
      <c r="M160" s="105">
        <v>3772.77</v>
      </c>
      <c r="N160" s="105">
        <v>3778.96</v>
      </c>
      <c r="O160" s="105">
        <v>3778.96</v>
      </c>
      <c r="P160" s="103" t="s">
        <v>400</v>
      </c>
    </row>
    <row r="161" spans="1:16" ht="15" thickBot="1" x14ac:dyDescent="0.35">
      <c r="A161" s="102">
        <v>41959</v>
      </c>
      <c r="B161" s="103">
        <v>24.12</v>
      </c>
      <c r="C161" s="103">
        <v>24.67</v>
      </c>
      <c r="D161" s="103">
        <v>23.69</v>
      </c>
      <c r="E161" s="103">
        <v>24.56</v>
      </c>
      <c r="F161" s="103">
        <v>24.56</v>
      </c>
      <c r="G161" s="104">
        <v>538500</v>
      </c>
      <c r="J161" s="102">
        <v>41959</v>
      </c>
      <c r="K161" s="105">
        <v>3722.33</v>
      </c>
      <c r="L161" s="105">
        <v>3784.57</v>
      </c>
      <c r="M161" s="105">
        <v>3715.33</v>
      </c>
      <c r="N161" s="105">
        <v>3770.03</v>
      </c>
      <c r="O161" s="105">
        <v>3770.03</v>
      </c>
      <c r="P161" s="103" t="s">
        <v>400</v>
      </c>
    </row>
    <row r="162" spans="1:16" ht="15" thickBot="1" x14ac:dyDescent="0.35">
      <c r="A162" s="102">
        <v>41952</v>
      </c>
      <c r="B162" s="103">
        <v>23.91</v>
      </c>
      <c r="C162" s="103">
        <v>25</v>
      </c>
      <c r="D162" s="103">
        <v>23.61</v>
      </c>
      <c r="E162" s="103">
        <v>24.22</v>
      </c>
      <c r="F162" s="103">
        <v>24.22</v>
      </c>
      <c r="G162" s="104">
        <v>997100</v>
      </c>
      <c r="J162" s="102">
        <v>41952</v>
      </c>
      <c r="K162" s="105">
        <v>3708.84</v>
      </c>
      <c r="L162" s="105">
        <v>3736.08</v>
      </c>
      <c r="M162" s="105">
        <v>3705.51</v>
      </c>
      <c r="N162" s="105">
        <v>3724.92</v>
      </c>
      <c r="O162" s="105">
        <v>3724.92</v>
      </c>
      <c r="P162" s="103" t="s">
        <v>400</v>
      </c>
    </row>
    <row r="163" spans="1:16" ht="15" thickBot="1" x14ac:dyDescent="0.35">
      <c r="A163" s="102">
        <v>41944</v>
      </c>
      <c r="B163" s="103">
        <v>22.64</v>
      </c>
      <c r="C163" s="103">
        <v>24.46</v>
      </c>
      <c r="D163" s="103">
        <v>22.12</v>
      </c>
      <c r="E163" s="103">
        <v>23.95</v>
      </c>
      <c r="F163" s="103">
        <v>23.95</v>
      </c>
      <c r="G163" s="104">
        <v>1332700</v>
      </c>
      <c r="J163" s="102">
        <v>41944</v>
      </c>
      <c r="K163" s="105">
        <v>3680.31</v>
      </c>
      <c r="L163" s="105">
        <v>3712.65</v>
      </c>
      <c r="M163" s="105">
        <v>3648.97</v>
      </c>
      <c r="N163" s="105">
        <v>3708.46</v>
      </c>
      <c r="O163" s="105">
        <v>3708.46</v>
      </c>
      <c r="P163" s="103" t="s">
        <v>400</v>
      </c>
    </row>
    <row r="164" spans="1:16" ht="15" thickBot="1" x14ac:dyDescent="0.35">
      <c r="A164" s="102">
        <v>41937</v>
      </c>
      <c r="B164" s="103">
        <v>21.45</v>
      </c>
      <c r="C164" s="103">
        <v>23.57</v>
      </c>
      <c r="D164" s="103">
        <v>21.23</v>
      </c>
      <c r="E164" s="103">
        <v>22.62</v>
      </c>
      <c r="F164" s="103">
        <v>22.62</v>
      </c>
      <c r="G164" s="104">
        <v>1079000</v>
      </c>
      <c r="J164" s="102">
        <v>41937</v>
      </c>
      <c r="K164" s="105">
        <v>3578.92</v>
      </c>
      <c r="L164" s="105">
        <v>3680.22</v>
      </c>
      <c r="M164" s="105">
        <v>3557.8</v>
      </c>
      <c r="N164" s="105">
        <v>3679.99</v>
      </c>
      <c r="O164" s="105">
        <v>3679.99</v>
      </c>
      <c r="P164" s="103" t="s">
        <v>400</v>
      </c>
    </row>
    <row r="165" spans="1:16" ht="15" thickBot="1" x14ac:dyDescent="0.35">
      <c r="A165" s="102">
        <v>41930</v>
      </c>
      <c r="B165" s="103">
        <v>22.41</v>
      </c>
      <c r="C165" s="103">
        <v>22.49</v>
      </c>
      <c r="D165" s="103">
        <v>20.73</v>
      </c>
      <c r="E165" s="103">
        <v>21.45</v>
      </c>
      <c r="F165" s="103">
        <v>21.45</v>
      </c>
      <c r="G165" s="104">
        <v>1036600</v>
      </c>
      <c r="J165" s="102">
        <v>41930</v>
      </c>
      <c r="K165" s="105">
        <v>3437.37</v>
      </c>
      <c r="L165" s="105">
        <v>3583.08</v>
      </c>
      <c r="M165" s="105">
        <v>3431.39</v>
      </c>
      <c r="N165" s="105">
        <v>3581.82</v>
      </c>
      <c r="O165" s="105">
        <v>3581.82</v>
      </c>
      <c r="P165" s="103" t="s">
        <v>400</v>
      </c>
    </row>
    <row r="166" spans="1:16" ht="15" thickBot="1" x14ac:dyDescent="0.35">
      <c r="A166" s="102">
        <v>41923</v>
      </c>
      <c r="B166" s="103">
        <v>19.97</v>
      </c>
      <c r="C166" s="103">
        <v>22.94</v>
      </c>
      <c r="D166" s="103">
        <v>19.309999999999999</v>
      </c>
      <c r="E166" s="103">
        <v>22.48</v>
      </c>
      <c r="F166" s="103">
        <v>22.48</v>
      </c>
      <c r="G166" s="104">
        <v>1449500</v>
      </c>
      <c r="J166" s="102">
        <v>41923</v>
      </c>
      <c r="K166" s="105">
        <v>3473.36</v>
      </c>
      <c r="L166" s="105">
        <v>3485.1</v>
      </c>
      <c r="M166" s="105">
        <v>3319.83</v>
      </c>
      <c r="N166" s="105">
        <v>3439.39</v>
      </c>
      <c r="O166" s="105">
        <v>3439.39</v>
      </c>
      <c r="P166" s="103" t="s">
        <v>400</v>
      </c>
    </row>
    <row r="167" spans="1:16" ht="15" thickBot="1" x14ac:dyDescent="0.35">
      <c r="A167" s="102">
        <v>41916</v>
      </c>
      <c r="B167" s="103">
        <v>21.72</v>
      </c>
      <c r="C167" s="103">
        <v>21.72</v>
      </c>
      <c r="D167" s="103">
        <v>19.8</v>
      </c>
      <c r="E167" s="103">
        <v>19.95</v>
      </c>
      <c r="F167" s="103">
        <v>19.95</v>
      </c>
      <c r="G167" s="104">
        <v>708300</v>
      </c>
      <c r="J167" s="102">
        <v>41916</v>
      </c>
      <c r="K167" s="105">
        <v>3588.87</v>
      </c>
      <c r="L167" s="105">
        <v>3602.95</v>
      </c>
      <c r="M167" s="105">
        <v>3474.09</v>
      </c>
      <c r="N167" s="105">
        <v>3474.23</v>
      </c>
      <c r="O167" s="105">
        <v>3474.23</v>
      </c>
      <c r="P167" s="103" t="s">
        <v>400</v>
      </c>
    </row>
    <row r="168" spans="1:16" ht="15" thickBot="1" x14ac:dyDescent="0.35">
      <c r="A168" s="102">
        <v>41909</v>
      </c>
      <c r="B168" s="103">
        <v>21.67</v>
      </c>
      <c r="C168" s="103">
        <v>21.89</v>
      </c>
      <c r="D168" s="103">
        <v>20.7</v>
      </c>
      <c r="E168" s="103">
        <v>21.65</v>
      </c>
      <c r="F168" s="103">
        <v>21.65</v>
      </c>
      <c r="G168" s="104">
        <v>884500</v>
      </c>
      <c r="J168" s="102">
        <v>41909</v>
      </c>
      <c r="K168" s="105">
        <v>3604.2</v>
      </c>
      <c r="L168" s="105">
        <v>3615.42</v>
      </c>
      <c r="M168" s="105">
        <v>3508.87</v>
      </c>
      <c r="N168" s="105">
        <v>3584.94</v>
      </c>
      <c r="O168" s="105">
        <v>3584.94</v>
      </c>
      <c r="P168" s="103" t="s">
        <v>400</v>
      </c>
    </row>
    <row r="169" spans="1:16" ht="15" thickBot="1" x14ac:dyDescent="0.35">
      <c r="A169" s="102">
        <v>41902</v>
      </c>
      <c r="B169" s="103">
        <v>21.75</v>
      </c>
      <c r="C169" s="103">
        <v>21.94</v>
      </c>
      <c r="D169" s="103">
        <v>20.85</v>
      </c>
      <c r="E169" s="103">
        <v>21.83</v>
      </c>
      <c r="F169" s="103">
        <v>21.83</v>
      </c>
      <c r="G169" s="104">
        <v>989700</v>
      </c>
      <c r="J169" s="102">
        <v>41902</v>
      </c>
      <c r="K169" s="105">
        <v>3657.63</v>
      </c>
      <c r="L169" s="105">
        <v>3657.63</v>
      </c>
      <c r="M169" s="105">
        <v>3579.61</v>
      </c>
      <c r="N169" s="105">
        <v>3610.98</v>
      </c>
      <c r="O169" s="105">
        <v>3610.98</v>
      </c>
      <c r="P169" s="103" t="s">
        <v>400</v>
      </c>
    </row>
    <row r="170" spans="1:16" ht="15" thickBot="1" x14ac:dyDescent="0.35">
      <c r="A170" s="102">
        <v>41895</v>
      </c>
      <c r="B170" s="103">
        <v>22.19</v>
      </c>
      <c r="C170" s="103">
        <v>22.47</v>
      </c>
      <c r="D170" s="103">
        <v>21.55</v>
      </c>
      <c r="E170" s="103">
        <v>21.8</v>
      </c>
      <c r="F170" s="103">
        <v>21.8</v>
      </c>
      <c r="G170" s="104">
        <v>1053200</v>
      </c>
      <c r="J170" s="102">
        <v>41895</v>
      </c>
      <c r="K170" s="105">
        <v>3614.99</v>
      </c>
      <c r="L170" s="105">
        <v>3676.16</v>
      </c>
      <c r="M170" s="105">
        <v>3601.51</v>
      </c>
      <c r="N170" s="105">
        <v>3660.03</v>
      </c>
      <c r="O170" s="105">
        <v>3660.03</v>
      </c>
      <c r="P170" s="103" t="s">
        <v>400</v>
      </c>
    </row>
    <row r="171" spans="1:16" ht="15" thickBot="1" x14ac:dyDescent="0.35">
      <c r="A171" s="102">
        <v>41888</v>
      </c>
      <c r="B171" s="103">
        <v>22.86</v>
      </c>
      <c r="C171" s="103">
        <v>23.05</v>
      </c>
      <c r="D171" s="103">
        <v>21.97</v>
      </c>
      <c r="E171" s="103">
        <v>22.25</v>
      </c>
      <c r="F171" s="103">
        <v>22.25</v>
      </c>
      <c r="G171" s="104">
        <v>1093900</v>
      </c>
      <c r="J171" s="102">
        <v>41888</v>
      </c>
      <c r="K171" s="105">
        <v>3651.9</v>
      </c>
      <c r="L171" s="105">
        <v>3651.9</v>
      </c>
      <c r="M171" s="105">
        <v>3604.63</v>
      </c>
      <c r="N171" s="105">
        <v>3614.06</v>
      </c>
      <c r="O171" s="105">
        <v>3614.06</v>
      </c>
      <c r="P171" s="103" t="s">
        <v>400</v>
      </c>
    </row>
    <row r="172" spans="1:16" ht="15" thickBot="1" x14ac:dyDescent="0.35">
      <c r="A172" s="102">
        <v>41881</v>
      </c>
      <c r="B172" s="103">
        <v>25</v>
      </c>
      <c r="C172" s="103">
        <v>25</v>
      </c>
      <c r="D172" s="103">
        <v>22.87</v>
      </c>
      <c r="E172" s="103">
        <v>22.93</v>
      </c>
      <c r="F172" s="103">
        <v>22.93</v>
      </c>
      <c r="G172" s="104">
        <v>845300</v>
      </c>
      <c r="J172" s="102">
        <v>41881</v>
      </c>
      <c r="K172" s="105">
        <v>3644.77</v>
      </c>
      <c r="L172" s="105">
        <v>3658.46</v>
      </c>
      <c r="M172" s="105">
        <v>3620.24</v>
      </c>
      <c r="N172" s="105">
        <v>3652.26</v>
      </c>
      <c r="O172" s="105">
        <v>3652.26</v>
      </c>
      <c r="P172" s="103" t="s">
        <v>400</v>
      </c>
    </row>
    <row r="173" spans="1:16" ht="15" thickBot="1" x14ac:dyDescent="0.35">
      <c r="A173" s="102">
        <v>41874</v>
      </c>
      <c r="B173" s="103">
        <v>23.91</v>
      </c>
      <c r="C173" s="103">
        <v>25.41</v>
      </c>
      <c r="D173" s="103">
        <v>23.74</v>
      </c>
      <c r="E173" s="103">
        <v>24.9</v>
      </c>
      <c r="F173" s="103">
        <v>24.9</v>
      </c>
      <c r="G173" s="104">
        <v>1358300</v>
      </c>
      <c r="J173" s="102">
        <v>41874</v>
      </c>
      <c r="K173" s="105">
        <v>3620.63</v>
      </c>
      <c r="L173" s="105">
        <v>3644.83</v>
      </c>
      <c r="M173" s="105">
        <v>3619.73</v>
      </c>
      <c r="N173" s="105">
        <v>3643.33</v>
      </c>
      <c r="O173" s="105">
        <v>3643.33</v>
      </c>
      <c r="P173" s="103" t="s">
        <v>400</v>
      </c>
    </row>
    <row r="174" spans="1:16" ht="15" thickBot="1" x14ac:dyDescent="0.35">
      <c r="A174" s="102">
        <v>41867</v>
      </c>
      <c r="B174" s="103">
        <v>23.19</v>
      </c>
      <c r="C174" s="103">
        <v>24.84</v>
      </c>
      <c r="D174" s="103">
        <v>22.92</v>
      </c>
      <c r="E174" s="103">
        <v>23.75</v>
      </c>
      <c r="F174" s="103">
        <v>23.75</v>
      </c>
      <c r="G174" s="104">
        <v>901300</v>
      </c>
      <c r="J174" s="102">
        <v>41867</v>
      </c>
      <c r="K174" s="105">
        <v>3558.39</v>
      </c>
      <c r="L174" s="105">
        <v>3625.58</v>
      </c>
      <c r="M174" s="105">
        <v>3558.39</v>
      </c>
      <c r="N174" s="105">
        <v>3614.5</v>
      </c>
      <c r="O174" s="105">
        <v>3614.5</v>
      </c>
      <c r="P174" s="103" t="s">
        <v>400</v>
      </c>
    </row>
    <row r="175" spans="1:16" ht="15" thickBot="1" x14ac:dyDescent="0.35">
      <c r="A175" s="102">
        <v>41860</v>
      </c>
      <c r="B175" s="103">
        <v>22.67</v>
      </c>
      <c r="C175" s="103">
        <v>23.77</v>
      </c>
      <c r="D175" s="103">
        <v>22.6</v>
      </c>
      <c r="E175" s="103">
        <v>22.97</v>
      </c>
      <c r="F175" s="103">
        <v>22.97</v>
      </c>
      <c r="G175" s="104">
        <v>737900</v>
      </c>
      <c r="J175" s="102">
        <v>41860</v>
      </c>
      <c r="K175" s="105">
        <v>3511.2</v>
      </c>
      <c r="L175" s="105">
        <v>3568.48</v>
      </c>
      <c r="M175" s="105">
        <v>3502.07</v>
      </c>
      <c r="N175" s="105">
        <v>3552.17</v>
      </c>
      <c r="O175" s="105">
        <v>3552.17</v>
      </c>
      <c r="P175" s="103" t="s">
        <v>400</v>
      </c>
    </row>
    <row r="176" spans="1:16" ht="15" thickBot="1" x14ac:dyDescent="0.35">
      <c r="A176" s="102">
        <v>41853</v>
      </c>
      <c r="B176" s="103">
        <v>22.11</v>
      </c>
      <c r="C176" s="103">
        <v>23.5</v>
      </c>
      <c r="D176" s="103">
        <v>20.11</v>
      </c>
      <c r="E176" s="103">
        <v>22.47</v>
      </c>
      <c r="F176" s="103">
        <v>22.47</v>
      </c>
      <c r="G176" s="104">
        <v>1331100</v>
      </c>
      <c r="J176" s="102">
        <v>41853</v>
      </c>
      <c r="K176" s="105">
        <v>3495.87</v>
      </c>
      <c r="L176" s="105">
        <v>3525.39</v>
      </c>
      <c r="M176" s="105">
        <v>3458.44</v>
      </c>
      <c r="N176" s="105">
        <v>3507.21</v>
      </c>
      <c r="O176" s="105">
        <v>3507.21</v>
      </c>
      <c r="P176" s="103" t="s">
        <v>400</v>
      </c>
    </row>
    <row r="177" spans="1:16" ht="15" thickBot="1" x14ac:dyDescent="0.35">
      <c r="A177" s="102">
        <v>41846</v>
      </c>
      <c r="B177" s="103">
        <v>22.81</v>
      </c>
      <c r="C177" s="103">
        <v>22.99</v>
      </c>
      <c r="D177" s="103">
        <v>21.42</v>
      </c>
      <c r="E177" s="103">
        <v>22.03</v>
      </c>
      <c r="F177" s="103">
        <v>22.03</v>
      </c>
      <c r="G177" s="104">
        <v>949700</v>
      </c>
      <c r="J177" s="102">
        <v>41846</v>
      </c>
      <c r="K177" s="105">
        <v>3588.53</v>
      </c>
      <c r="L177" s="105">
        <v>3600.67</v>
      </c>
      <c r="M177" s="105">
        <v>3477.69</v>
      </c>
      <c r="N177" s="105">
        <v>3493.18</v>
      </c>
      <c r="O177" s="105">
        <v>3493.18</v>
      </c>
      <c r="P177" s="103" t="s">
        <v>400</v>
      </c>
    </row>
    <row r="178" spans="1:16" ht="15" thickBot="1" x14ac:dyDescent="0.35">
      <c r="A178" s="102">
        <v>41839</v>
      </c>
      <c r="B178" s="103">
        <v>22.45</v>
      </c>
      <c r="C178" s="103">
        <v>23.64</v>
      </c>
      <c r="D178" s="103">
        <v>22.13</v>
      </c>
      <c r="E178" s="103">
        <v>22.81</v>
      </c>
      <c r="F178" s="103">
        <v>22.81</v>
      </c>
      <c r="G178" s="104">
        <v>699600</v>
      </c>
      <c r="J178" s="102">
        <v>41839</v>
      </c>
      <c r="K178" s="105">
        <v>3585.98</v>
      </c>
      <c r="L178" s="105">
        <v>3612.27</v>
      </c>
      <c r="M178" s="105">
        <v>3565.74</v>
      </c>
      <c r="N178" s="105">
        <v>3588.68</v>
      </c>
      <c r="O178" s="105">
        <v>3588.68</v>
      </c>
      <c r="P178" s="103" t="s">
        <v>400</v>
      </c>
    </row>
    <row r="179" spans="1:16" ht="15" thickBot="1" x14ac:dyDescent="0.35">
      <c r="A179" s="102">
        <v>41832</v>
      </c>
      <c r="B179" s="103">
        <v>23.2</v>
      </c>
      <c r="C179" s="103">
        <v>23.35</v>
      </c>
      <c r="D179" s="103">
        <v>21.97</v>
      </c>
      <c r="E179" s="103">
        <v>22.58</v>
      </c>
      <c r="F179" s="103">
        <v>22.58</v>
      </c>
      <c r="G179" s="104">
        <v>1133800</v>
      </c>
      <c r="J179" s="102">
        <v>41832</v>
      </c>
      <c r="K179" s="105">
        <v>3572.24</v>
      </c>
      <c r="L179" s="105">
        <v>3597.99</v>
      </c>
      <c r="M179" s="105">
        <v>3547.27</v>
      </c>
      <c r="N179" s="105">
        <v>3588.21</v>
      </c>
      <c r="O179" s="105">
        <v>3588.21</v>
      </c>
      <c r="P179" s="103" t="s">
        <v>400</v>
      </c>
    </row>
    <row r="180" spans="1:16" ht="15" thickBot="1" x14ac:dyDescent="0.35">
      <c r="A180" s="102">
        <v>41825</v>
      </c>
      <c r="B180" s="103">
        <v>23.52</v>
      </c>
      <c r="C180" s="103">
        <v>23.52</v>
      </c>
      <c r="D180" s="103">
        <v>22.32</v>
      </c>
      <c r="E180" s="103">
        <v>22.97</v>
      </c>
      <c r="F180" s="103">
        <v>22.97</v>
      </c>
      <c r="G180" s="104">
        <v>1338100</v>
      </c>
      <c r="J180" s="102">
        <v>41825</v>
      </c>
      <c r="K180" s="105">
        <v>3596.65</v>
      </c>
      <c r="L180" s="105">
        <v>3596.65</v>
      </c>
      <c r="M180" s="105">
        <v>3541.18</v>
      </c>
      <c r="N180" s="105">
        <v>3568.08</v>
      </c>
      <c r="O180" s="105">
        <v>3568.08</v>
      </c>
      <c r="P180" s="103" t="s">
        <v>400</v>
      </c>
    </row>
    <row r="181" spans="1:16" ht="15" thickBot="1" x14ac:dyDescent="0.35">
      <c r="A181" s="102">
        <v>41818</v>
      </c>
      <c r="B181" s="103">
        <v>22.59</v>
      </c>
      <c r="C181" s="103">
        <v>23.93</v>
      </c>
      <c r="D181" s="103">
        <v>22.16</v>
      </c>
      <c r="E181" s="103">
        <v>23.55</v>
      </c>
      <c r="F181" s="103">
        <v>23.55</v>
      </c>
      <c r="G181" s="104">
        <v>682800</v>
      </c>
      <c r="J181" s="102">
        <v>41818</v>
      </c>
      <c r="K181" s="105">
        <v>3553.19</v>
      </c>
      <c r="L181" s="105">
        <v>3598.92</v>
      </c>
      <c r="M181" s="105">
        <v>3548.56</v>
      </c>
      <c r="N181" s="105">
        <v>3598.73</v>
      </c>
      <c r="O181" s="105">
        <v>3598.73</v>
      </c>
      <c r="P181" s="103" t="s">
        <v>400</v>
      </c>
    </row>
    <row r="182" spans="1:16" ht="15" thickBot="1" x14ac:dyDescent="0.35">
      <c r="A182" s="102">
        <v>41811</v>
      </c>
      <c r="B182" s="103">
        <v>22.71</v>
      </c>
      <c r="C182" s="103">
        <v>22.96</v>
      </c>
      <c r="D182" s="103">
        <v>21.76</v>
      </c>
      <c r="E182" s="103">
        <v>22.56</v>
      </c>
      <c r="F182" s="103">
        <v>22.56</v>
      </c>
      <c r="G182" s="104">
        <v>955600</v>
      </c>
      <c r="J182" s="102">
        <v>41811</v>
      </c>
      <c r="K182" s="105">
        <v>3555.7</v>
      </c>
      <c r="L182" s="105">
        <v>3565.48</v>
      </c>
      <c r="M182" s="105">
        <v>3523.92</v>
      </c>
      <c r="N182" s="105">
        <v>3553.35</v>
      </c>
      <c r="O182" s="105">
        <v>3553.35</v>
      </c>
      <c r="P182" s="103" t="s">
        <v>400</v>
      </c>
    </row>
    <row r="183" spans="1:16" ht="15" thickBot="1" x14ac:dyDescent="0.35">
      <c r="A183" s="102">
        <v>41804</v>
      </c>
      <c r="B183" s="103">
        <v>22.48</v>
      </c>
      <c r="C183" s="103">
        <v>23.09</v>
      </c>
      <c r="D183" s="103">
        <v>21.85</v>
      </c>
      <c r="E183" s="103">
        <v>22.76</v>
      </c>
      <c r="F183" s="103">
        <v>22.76</v>
      </c>
      <c r="G183" s="104">
        <v>1612500</v>
      </c>
      <c r="J183" s="102">
        <v>41804</v>
      </c>
      <c r="K183" s="105">
        <v>3504.21</v>
      </c>
      <c r="L183" s="105">
        <v>3557.46</v>
      </c>
      <c r="M183" s="105">
        <v>3497.27</v>
      </c>
      <c r="N183" s="105">
        <v>3555.6</v>
      </c>
      <c r="O183" s="105">
        <v>3555.6</v>
      </c>
      <c r="P183" s="103" t="s">
        <v>400</v>
      </c>
    </row>
    <row r="184" spans="1:16" ht="15" thickBot="1" x14ac:dyDescent="0.35">
      <c r="A184" s="102">
        <v>41797</v>
      </c>
      <c r="B184" s="103">
        <v>21.95</v>
      </c>
      <c r="C184" s="103">
        <v>22.92</v>
      </c>
      <c r="D184" s="103">
        <v>21.7</v>
      </c>
      <c r="E184" s="103">
        <v>22.52</v>
      </c>
      <c r="F184" s="103">
        <v>22.52</v>
      </c>
      <c r="G184" s="104">
        <v>1251900</v>
      </c>
      <c r="J184" s="102">
        <v>41797</v>
      </c>
      <c r="K184" s="105">
        <v>3528.3</v>
      </c>
      <c r="L184" s="105">
        <v>3540.19</v>
      </c>
      <c r="M184" s="105">
        <v>3487.72</v>
      </c>
      <c r="N184" s="105">
        <v>3506.58</v>
      </c>
      <c r="O184" s="105">
        <v>3506.58</v>
      </c>
      <c r="P184" s="103" t="s">
        <v>400</v>
      </c>
    </row>
    <row r="185" spans="1:16" ht="15" thickBot="1" x14ac:dyDescent="0.35">
      <c r="A185" s="102">
        <v>41790</v>
      </c>
      <c r="B185" s="103">
        <v>21.69</v>
      </c>
      <c r="C185" s="103">
        <v>22.41</v>
      </c>
      <c r="D185" s="103">
        <v>20.97</v>
      </c>
      <c r="E185" s="103">
        <v>22</v>
      </c>
      <c r="F185" s="103">
        <v>22</v>
      </c>
      <c r="G185" s="104">
        <v>1166700</v>
      </c>
      <c r="J185" s="102">
        <v>41790</v>
      </c>
      <c r="K185" s="105">
        <v>3481.15</v>
      </c>
      <c r="L185" s="105">
        <v>3528.98</v>
      </c>
      <c r="M185" s="105">
        <v>3466.99</v>
      </c>
      <c r="N185" s="105">
        <v>3528.98</v>
      </c>
      <c r="O185" s="105">
        <v>3528.98</v>
      </c>
      <c r="P185" s="103" t="s">
        <v>400</v>
      </c>
    </row>
    <row r="186" spans="1:16" ht="15" thickBot="1" x14ac:dyDescent="0.35">
      <c r="A186" s="102">
        <v>41783</v>
      </c>
      <c r="B186" s="103">
        <v>21.24</v>
      </c>
      <c r="C186" s="103">
        <v>22.84</v>
      </c>
      <c r="D186" s="103">
        <v>21.23</v>
      </c>
      <c r="E186" s="103">
        <v>21.69</v>
      </c>
      <c r="F186" s="103">
        <v>21.69</v>
      </c>
      <c r="G186" s="104">
        <v>1265000</v>
      </c>
      <c r="J186" s="102">
        <v>41783</v>
      </c>
      <c r="K186" s="105">
        <v>3440.29</v>
      </c>
      <c r="L186" s="105">
        <v>3481.1</v>
      </c>
      <c r="M186" s="105">
        <v>3440.29</v>
      </c>
      <c r="N186" s="105">
        <v>3480.29</v>
      </c>
      <c r="O186" s="105">
        <v>3480.29</v>
      </c>
      <c r="P186" s="103" t="s">
        <v>400</v>
      </c>
    </row>
    <row r="187" spans="1:16" ht="15" thickBot="1" x14ac:dyDescent="0.35">
      <c r="A187" s="102">
        <v>41776</v>
      </c>
      <c r="B187" s="103">
        <v>20.71</v>
      </c>
      <c r="C187" s="103">
        <v>21.3</v>
      </c>
      <c r="D187" s="103">
        <v>20.04</v>
      </c>
      <c r="E187" s="103">
        <v>21.1</v>
      </c>
      <c r="F187" s="103">
        <v>21.1</v>
      </c>
      <c r="G187" s="104">
        <v>1542600</v>
      </c>
      <c r="J187" s="102">
        <v>41776</v>
      </c>
      <c r="K187" s="105">
        <v>3393.29</v>
      </c>
      <c r="L187" s="105">
        <v>3438.82</v>
      </c>
      <c r="M187" s="105">
        <v>3378.05</v>
      </c>
      <c r="N187" s="105">
        <v>3437.58</v>
      </c>
      <c r="O187" s="105">
        <v>3437.58</v>
      </c>
      <c r="P187" s="103" t="s">
        <v>400</v>
      </c>
    </row>
    <row r="188" spans="1:16" ht="15" thickBot="1" x14ac:dyDescent="0.35">
      <c r="A188" s="102">
        <v>41769</v>
      </c>
      <c r="B188" s="103">
        <v>22.77</v>
      </c>
      <c r="C188" s="103">
        <v>22.77</v>
      </c>
      <c r="D188" s="103">
        <v>20.350000000000001</v>
      </c>
      <c r="E188" s="103">
        <v>20.77</v>
      </c>
      <c r="F188" s="103">
        <v>20.77</v>
      </c>
      <c r="G188" s="104">
        <v>3452000</v>
      </c>
      <c r="J188" s="102">
        <v>41769</v>
      </c>
      <c r="K188" s="105">
        <v>3396.98</v>
      </c>
      <c r="L188" s="105">
        <v>3437.83</v>
      </c>
      <c r="M188" s="105">
        <v>3367.27</v>
      </c>
      <c r="N188" s="105">
        <v>3395.21</v>
      </c>
      <c r="O188" s="105">
        <v>3395.21</v>
      </c>
      <c r="P188" s="103" t="s">
        <v>400</v>
      </c>
    </row>
    <row r="189" spans="1:16" ht="15" thickBot="1" x14ac:dyDescent="0.35">
      <c r="A189" s="102">
        <v>41762</v>
      </c>
      <c r="B189" s="103">
        <v>25.99</v>
      </c>
      <c r="C189" s="103">
        <v>26.56</v>
      </c>
      <c r="D189" s="103">
        <v>21.75</v>
      </c>
      <c r="E189" s="103">
        <v>22.73</v>
      </c>
      <c r="F189" s="103">
        <v>22.73</v>
      </c>
      <c r="G189" s="104">
        <v>2902900</v>
      </c>
      <c r="J189" s="102">
        <v>41762</v>
      </c>
      <c r="K189" s="105">
        <v>3392.83</v>
      </c>
      <c r="L189" s="105">
        <v>3412.57</v>
      </c>
      <c r="M189" s="105">
        <v>3358.88</v>
      </c>
      <c r="N189" s="105">
        <v>3394.05</v>
      </c>
      <c r="O189" s="105">
        <v>3394.05</v>
      </c>
      <c r="P189" s="103" t="s">
        <v>400</v>
      </c>
    </row>
    <row r="190" spans="1:16" ht="15" thickBot="1" x14ac:dyDescent="0.35">
      <c r="A190" s="102">
        <v>41755</v>
      </c>
      <c r="B190" s="103">
        <v>24.86</v>
      </c>
      <c r="C190" s="103">
        <v>26.71</v>
      </c>
      <c r="D190" s="103">
        <v>24.32</v>
      </c>
      <c r="E190" s="103">
        <v>26.17</v>
      </c>
      <c r="F190" s="103">
        <v>26.17</v>
      </c>
      <c r="G190" s="104">
        <v>1797500</v>
      </c>
      <c r="J190" s="102">
        <v>41755</v>
      </c>
      <c r="K190" s="105">
        <v>3366.05</v>
      </c>
      <c r="L190" s="105">
        <v>3413.95</v>
      </c>
      <c r="M190" s="105">
        <v>3340.08</v>
      </c>
      <c r="N190" s="105">
        <v>3395.61</v>
      </c>
      <c r="O190" s="105">
        <v>3395.61</v>
      </c>
      <c r="P190" s="103" t="s">
        <v>400</v>
      </c>
    </row>
    <row r="191" spans="1:16" ht="15" thickBot="1" x14ac:dyDescent="0.35">
      <c r="A191" s="102">
        <v>41748</v>
      </c>
      <c r="B191" s="103">
        <v>25.61</v>
      </c>
      <c r="C191" s="103">
        <v>27.17</v>
      </c>
      <c r="D191" s="103">
        <v>24.81</v>
      </c>
      <c r="E191" s="103">
        <v>24.83</v>
      </c>
      <c r="F191" s="103">
        <v>24.83</v>
      </c>
      <c r="G191" s="104">
        <v>1853900</v>
      </c>
      <c r="J191" s="102">
        <v>41748</v>
      </c>
      <c r="K191" s="105">
        <v>3366.75</v>
      </c>
      <c r="L191" s="105">
        <v>3401.2</v>
      </c>
      <c r="M191" s="105">
        <v>3356.27</v>
      </c>
      <c r="N191" s="105">
        <v>3362.95</v>
      </c>
      <c r="O191" s="105">
        <v>3362.95</v>
      </c>
      <c r="P191" s="103" t="s">
        <v>400</v>
      </c>
    </row>
    <row r="192" spans="1:16" ht="15" thickBot="1" x14ac:dyDescent="0.35">
      <c r="A192" s="102">
        <v>41741</v>
      </c>
      <c r="B192" s="103">
        <v>23.44</v>
      </c>
      <c r="C192" s="103">
        <v>25.85</v>
      </c>
      <c r="D192" s="103">
        <v>22.45</v>
      </c>
      <c r="E192" s="103">
        <v>25.44</v>
      </c>
      <c r="F192" s="103">
        <v>25.44</v>
      </c>
      <c r="G192" s="104">
        <v>1847700</v>
      </c>
      <c r="J192" s="102">
        <v>41741</v>
      </c>
      <c r="K192" s="105">
        <v>3280.55</v>
      </c>
      <c r="L192" s="105">
        <v>3373.53</v>
      </c>
      <c r="M192" s="105">
        <v>3276.28</v>
      </c>
      <c r="N192" s="105">
        <v>3365</v>
      </c>
      <c r="O192" s="105">
        <v>3365</v>
      </c>
      <c r="P192" s="103" t="s">
        <v>400</v>
      </c>
    </row>
    <row r="193" spans="1:16" ht="15" thickBot="1" x14ac:dyDescent="0.35">
      <c r="A193" s="102">
        <v>41734</v>
      </c>
      <c r="B193" s="103">
        <v>23.65</v>
      </c>
      <c r="C193" s="103">
        <v>24.79</v>
      </c>
      <c r="D193" s="103">
        <v>22.98</v>
      </c>
      <c r="E193" s="103">
        <v>23.2</v>
      </c>
      <c r="F193" s="103">
        <v>23.2</v>
      </c>
      <c r="G193" s="104">
        <v>2630600</v>
      </c>
      <c r="J193" s="102">
        <v>41734</v>
      </c>
      <c r="K193" s="105">
        <v>3361.32</v>
      </c>
      <c r="L193" s="105">
        <v>3378.24</v>
      </c>
      <c r="M193" s="105">
        <v>3273.74</v>
      </c>
      <c r="N193" s="105">
        <v>3276.04</v>
      </c>
      <c r="O193" s="105">
        <v>3276.04</v>
      </c>
      <c r="P193" s="103" t="s">
        <v>400</v>
      </c>
    </row>
    <row r="194" spans="1:16" ht="15" thickBot="1" x14ac:dyDescent="0.35">
      <c r="A194" s="102">
        <v>41727</v>
      </c>
      <c r="B194" s="103">
        <v>24.46</v>
      </c>
      <c r="C194" s="103">
        <v>26</v>
      </c>
      <c r="D194" s="103">
        <v>23.46</v>
      </c>
      <c r="E194" s="103">
        <v>23.66</v>
      </c>
      <c r="F194" s="103">
        <v>23.66</v>
      </c>
      <c r="G194" s="104">
        <v>2076800</v>
      </c>
      <c r="J194" s="102">
        <v>41727</v>
      </c>
      <c r="K194" s="105">
        <v>3351.76</v>
      </c>
      <c r="L194" s="105">
        <v>3421.23</v>
      </c>
      <c r="M194" s="105">
        <v>3351.76</v>
      </c>
      <c r="N194" s="105">
        <v>3363.41</v>
      </c>
      <c r="O194" s="105">
        <v>3363.41</v>
      </c>
      <c r="P194" s="103" t="s">
        <v>400</v>
      </c>
    </row>
    <row r="195" spans="1:16" ht="15" thickBot="1" x14ac:dyDescent="0.35">
      <c r="A195" s="102">
        <v>41720</v>
      </c>
      <c r="B195" s="103">
        <v>26.43</v>
      </c>
      <c r="C195" s="103">
        <v>26.58</v>
      </c>
      <c r="D195" s="103">
        <v>24.14</v>
      </c>
      <c r="E195" s="103">
        <v>24.35</v>
      </c>
      <c r="F195" s="103">
        <v>24.35</v>
      </c>
      <c r="G195" s="104">
        <v>1593100</v>
      </c>
      <c r="J195" s="102">
        <v>41720</v>
      </c>
      <c r="K195" s="105">
        <v>3365.79</v>
      </c>
      <c r="L195" s="105">
        <v>3381.1</v>
      </c>
      <c r="M195" s="105">
        <v>3320.74</v>
      </c>
      <c r="N195" s="105">
        <v>3348.83</v>
      </c>
      <c r="O195" s="105">
        <v>3348.83</v>
      </c>
      <c r="P195" s="103" t="s">
        <v>400</v>
      </c>
    </row>
    <row r="196" spans="1:16" ht="15" thickBot="1" x14ac:dyDescent="0.35">
      <c r="A196" s="102">
        <v>41713</v>
      </c>
      <c r="B196" s="103">
        <v>27.13</v>
      </c>
      <c r="C196" s="103">
        <v>27.74</v>
      </c>
      <c r="D196" s="103">
        <v>26.23</v>
      </c>
      <c r="E196" s="103">
        <v>26.42</v>
      </c>
      <c r="F196" s="103">
        <v>26.42</v>
      </c>
      <c r="G196" s="104">
        <v>2601400</v>
      </c>
      <c r="J196" s="102">
        <v>41713</v>
      </c>
      <c r="K196" s="105">
        <v>3320.84</v>
      </c>
      <c r="L196" s="105">
        <v>3395</v>
      </c>
      <c r="M196" s="105">
        <v>3320.84</v>
      </c>
      <c r="N196" s="105">
        <v>3363.72</v>
      </c>
      <c r="O196" s="105">
        <v>3363.72</v>
      </c>
      <c r="P196" s="103" t="s">
        <v>400</v>
      </c>
    </row>
    <row r="197" spans="1:16" ht="15" thickBot="1" x14ac:dyDescent="0.35">
      <c r="A197" s="102">
        <v>41707</v>
      </c>
      <c r="B197" s="103">
        <v>27.54</v>
      </c>
      <c r="C197" s="103">
        <v>28.48</v>
      </c>
      <c r="D197" s="103">
        <v>26.1</v>
      </c>
      <c r="E197" s="103">
        <v>27.04</v>
      </c>
      <c r="F197" s="103">
        <v>27.04</v>
      </c>
      <c r="G197" s="104">
        <v>1904800</v>
      </c>
      <c r="J197" s="102">
        <v>41707</v>
      </c>
      <c r="K197" s="105">
        <v>3382.46</v>
      </c>
      <c r="L197" s="105">
        <v>3390.68</v>
      </c>
      <c r="M197" s="105">
        <v>3315.13</v>
      </c>
      <c r="N197" s="105">
        <v>3317.81</v>
      </c>
      <c r="O197" s="105">
        <v>3317.81</v>
      </c>
      <c r="P197" s="103" t="s">
        <v>400</v>
      </c>
    </row>
    <row r="198" spans="1:16" ht="15" thickBot="1" x14ac:dyDescent="0.35">
      <c r="A198" s="102">
        <v>41700</v>
      </c>
      <c r="B198" s="103">
        <v>24.5</v>
      </c>
      <c r="C198" s="103">
        <v>27.96</v>
      </c>
      <c r="D198" s="103">
        <v>24.4</v>
      </c>
      <c r="E198" s="103">
        <v>27.77</v>
      </c>
      <c r="F198" s="103">
        <v>27.77</v>
      </c>
      <c r="G198" s="104">
        <v>2657900</v>
      </c>
      <c r="J198" s="102">
        <v>41700</v>
      </c>
      <c r="K198" s="105">
        <v>3344.36</v>
      </c>
      <c r="L198" s="105">
        <v>3392.39</v>
      </c>
      <c r="M198" s="105">
        <v>3302.57</v>
      </c>
      <c r="N198" s="105">
        <v>3382.57</v>
      </c>
      <c r="O198" s="105">
        <v>3382.57</v>
      </c>
      <c r="P198" s="103" t="s">
        <v>400</v>
      </c>
    </row>
    <row r="199" spans="1:16" ht="15" thickBot="1" x14ac:dyDescent="0.35">
      <c r="A199" s="102">
        <v>41693</v>
      </c>
      <c r="B199" s="103">
        <v>25.62</v>
      </c>
      <c r="C199" s="103">
        <v>26</v>
      </c>
      <c r="D199" s="103">
        <v>24.43</v>
      </c>
      <c r="E199" s="103">
        <v>24.74</v>
      </c>
      <c r="F199" s="103">
        <v>24.74</v>
      </c>
      <c r="G199" s="104">
        <v>1110000</v>
      </c>
      <c r="J199" s="102">
        <v>41693</v>
      </c>
      <c r="K199" s="105">
        <v>3305.34</v>
      </c>
      <c r="L199" s="105">
        <v>3362.62</v>
      </c>
      <c r="M199" s="105">
        <v>3305.34</v>
      </c>
      <c r="N199" s="105">
        <v>3347.38</v>
      </c>
      <c r="O199" s="105">
        <v>3347.38</v>
      </c>
      <c r="P199" s="103" t="s">
        <v>400</v>
      </c>
    </row>
    <row r="200" spans="1:16" ht="15" thickBot="1" x14ac:dyDescent="0.35">
      <c r="A200" s="102">
        <v>41686</v>
      </c>
      <c r="B200" s="103">
        <v>24.7</v>
      </c>
      <c r="C200" s="103">
        <v>25.94</v>
      </c>
      <c r="D200" s="103">
        <v>24.5</v>
      </c>
      <c r="E200" s="103">
        <v>25.55</v>
      </c>
      <c r="F200" s="103">
        <v>25.55</v>
      </c>
      <c r="G200" s="104">
        <v>869100</v>
      </c>
      <c r="J200" s="102">
        <v>41686</v>
      </c>
      <c r="K200" s="105">
        <v>3308.17</v>
      </c>
      <c r="L200" s="105">
        <v>3323.55</v>
      </c>
      <c r="M200" s="105">
        <v>3282.92</v>
      </c>
      <c r="N200" s="105">
        <v>3304.36</v>
      </c>
      <c r="O200" s="105">
        <v>3304.36</v>
      </c>
      <c r="P200" s="103" t="s">
        <v>400</v>
      </c>
    </row>
    <row r="201" spans="1:16" ht="15" thickBot="1" x14ac:dyDescent="0.35">
      <c r="A201" s="102">
        <v>41679</v>
      </c>
      <c r="B201" s="103">
        <v>23.99</v>
      </c>
      <c r="C201" s="103">
        <v>25.31</v>
      </c>
      <c r="D201" s="103">
        <v>23.73</v>
      </c>
      <c r="E201" s="103">
        <v>24.7</v>
      </c>
      <c r="F201" s="103">
        <v>24.7</v>
      </c>
      <c r="G201" s="104">
        <v>1384400</v>
      </c>
      <c r="J201" s="102">
        <v>41679</v>
      </c>
      <c r="K201" s="105">
        <v>3228.24</v>
      </c>
      <c r="L201" s="105">
        <v>3312.35</v>
      </c>
      <c r="M201" s="105">
        <v>3220.55</v>
      </c>
      <c r="N201" s="105">
        <v>3306.92</v>
      </c>
      <c r="O201" s="105">
        <v>3306.92</v>
      </c>
      <c r="P201" s="103" t="s">
        <v>400</v>
      </c>
    </row>
    <row r="202" spans="1:16" ht="15" thickBot="1" x14ac:dyDescent="0.35">
      <c r="A202" s="102">
        <v>41672</v>
      </c>
      <c r="B202" s="103">
        <v>23.91</v>
      </c>
      <c r="C202" s="103">
        <v>24.47</v>
      </c>
      <c r="D202" s="103">
        <v>23.05</v>
      </c>
      <c r="E202" s="103">
        <v>24</v>
      </c>
      <c r="F202" s="103">
        <v>24</v>
      </c>
      <c r="G202" s="104">
        <v>1924600</v>
      </c>
      <c r="J202" s="102">
        <v>41672</v>
      </c>
      <c r="K202" s="105">
        <v>3201.12</v>
      </c>
      <c r="L202" s="105">
        <v>3231.3</v>
      </c>
      <c r="M202" s="105">
        <v>3121.85</v>
      </c>
      <c r="N202" s="105">
        <v>3229.65</v>
      </c>
      <c r="O202" s="105">
        <v>3229.65</v>
      </c>
      <c r="P202" s="103" t="s">
        <v>400</v>
      </c>
    </row>
    <row r="203" spans="1:16" ht="15" thickBot="1" x14ac:dyDescent="0.35">
      <c r="A203" s="102">
        <v>41665</v>
      </c>
      <c r="B203" s="103">
        <v>22.84</v>
      </c>
      <c r="C203" s="103">
        <v>24.11</v>
      </c>
      <c r="D203" s="103">
        <v>21.72</v>
      </c>
      <c r="E203" s="103">
        <v>23.93</v>
      </c>
      <c r="F203" s="103">
        <v>23.93</v>
      </c>
      <c r="G203" s="104">
        <v>2908700</v>
      </c>
      <c r="J203" s="102">
        <v>41665</v>
      </c>
      <c r="K203" s="105">
        <v>3215.57</v>
      </c>
      <c r="L203" s="105">
        <v>3230</v>
      </c>
      <c r="M203" s="105">
        <v>3179.25</v>
      </c>
      <c r="N203" s="105">
        <v>3200.95</v>
      </c>
      <c r="O203" s="105">
        <v>3200.95</v>
      </c>
      <c r="P203" s="103" t="s">
        <v>400</v>
      </c>
    </row>
    <row r="204" spans="1:16" ht="15" thickBot="1" x14ac:dyDescent="0.35">
      <c r="A204" s="102">
        <v>41658</v>
      </c>
      <c r="B204" s="103">
        <v>26.37</v>
      </c>
      <c r="C204" s="103">
        <v>26.5</v>
      </c>
      <c r="D204" s="103">
        <v>22.6</v>
      </c>
      <c r="E204" s="103">
        <v>22.85</v>
      </c>
      <c r="F204" s="103">
        <v>22.85</v>
      </c>
      <c r="G204" s="104">
        <v>3892500</v>
      </c>
      <c r="J204" s="102">
        <v>41658</v>
      </c>
      <c r="K204" s="105">
        <v>3304.8</v>
      </c>
      <c r="L204" s="105">
        <v>3319.5</v>
      </c>
      <c r="M204" s="105">
        <v>3214.14</v>
      </c>
      <c r="N204" s="105">
        <v>3214.14</v>
      </c>
      <c r="O204" s="105">
        <v>3214.14</v>
      </c>
      <c r="P204" s="103" t="s">
        <v>400</v>
      </c>
    </row>
    <row r="205" spans="1:16" ht="15" thickBot="1" x14ac:dyDescent="0.35">
      <c r="A205" s="102">
        <v>41651</v>
      </c>
      <c r="B205" s="103">
        <v>25</v>
      </c>
      <c r="C205" s="103">
        <v>26.71</v>
      </c>
      <c r="D205" s="103">
        <v>24.91</v>
      </c>
      <c r="E205" s="103">
        <v>26.14</v>
      </c>
      <c r="F205" s="103">
        <v>26.14</v>
      </c>
      <c r="G205" s="104">
        <v>1037600</v>
      </c>
      <c r="J205" s="102">
        <v>41651</v>
      </c>
      <c r="K205" s="105">
        <v>3304.86</v>
      </c>
      <c r="L205" s="105">
        <v>3321.89</v>
      </c>
      <c r="M205" s="105">
        <v>3258.77</v>
      </c>
      <c r="N205" s="105">
        <v>3300.51</v>
      </c>
      <c r="O205" s="105">
        <v>3300.51</v>
      </c>
      <c r="P205" s="103" t="s">
        <v>400</v>
      </c>
    </row>
    <row r="206" spans="1:16" ht="15" thickBot="1" x14ac:dyDescent="0.35">
      <c r="A206" s="102">
        <v>41644</v>
      </c>
      <c r="B206" s="103">
        <v>24.36</v>
      </c>
      <c r="C206" s="103">
        <v>25.16</v>
      </c>
      <c r="D206" s="103">
        <v>24</v>
      </c>
      <c r="E206" s="103">
        <v>24.93</v>
      </c>
      <c r="F206" s="103">
        <v>24.93</v>
      </c>
      <c r="G206" s="104">
        <v>932400</v>
      </c>
      <c r="J206" s="102">
        <v>41644</v>
      </c>
      <c r="K206" s="105">
        <v>3287.43</v>
      </c>
      <c r="L206" s="105">
        <v>3307.99</v>
      </c>
      <c r="M206" s="105">
        <v>3272.34</v>
      </c>
      <c r="N206" s="105">
        <v>3306.49</v>
      </c>
      <c r="O206" s="105">
        <v>3306.49</v>
      </c>
      <c r="P206" s="103" t="s">
        <v>400</v>
      </c>
    </row>
    <row r="207" spans="1:16" ht="15" thickBot="1" x14ac:dyDescent="0.35">
      <c r="A207" s="102">
        <v>41637</v>
      </c>
      <c r="B207" s="103">
        <v>23.41</v>
      </c>
      <c r="C207" s="103">
        <v>24.45</v>
      </c>
      <c r="D207" s="103">
        <v>22.92</v>
      </c>
      <c r="E207" s="103">
        <v>24.23</v>
      </c>
      <c r="F207" s="103">
        <v>24.23</v>
      </c>
      <c r="G207" s="104">
        <v>594600</v>
      </c>
      <c r="J207" s="102">
        <v>41637</v>
      </c>
      <c r="K207" s="105">
        <v>3303.02</v>
      </c>
      <c r="L207" s="105">
        <v>3317.24</v>
      </c>
      <c r="M207" s="105">
        <v>3279.14</v>
      </c>
      <c r="N207" s="105">
        <v>3285.68</v>
      </c>
      <c r="O207" s="105">
        <v>3285.68</v>
      </c>
      <c r="P207" s="103" t="s">
        <v>400</v>
      </c>
    </row>
    <row r="208" spans="1:16" ht="15" thickBot="1" x14ac:dyDescent="0.35">
      <c r="A208" s="102">
        <v>41630</v>
      </c>
      <c r="B208" s="103">
        <v>23.62</v>
      </c>
      <c r="C208" s="103">
        <v>24.04</v>
      </c>
      <c r="D208" s="103">
        <v>23.27</v>
      </c>
      <c r="E208" s="103">
        <v>23.48</v>
      </c>
      <c r="F208" s="103">
        <v>23.48</v>
      </c>
      <c r="G208" s="104">
        <v>398000</v>
      </c>
      <c r="J208" s="102">
        <v>41630</v>
      </c>
      <c r="K208" s="105">
        <v>3268.53</v>
      </c>
      <c r="L208" s="105">
        <v>3308.75</v>
      </c>
      <c r="M208" s="105">
        <v>3268.53</v>
      </c>
      <c r="N208" s="105">
        <v>3302.66</v>
      </c>
      <c r="O208" s="105">
        <v>3302.66</v>
      </c>
      <c r="P208" s="103" t="s">
        <v>400</v>
      </c>
    </row>
    <row r="209" spans="1:16" ht="15" thickBot="1" x14ac:dyDescent="0.35">
      <c r="A209" s="102">
        <v>41623</v>
      </c>
      <c r="B209" s="103">
        <v>23.12</v>
      </c>
      <c r="C209" s="103">
        <v>23.45</v>
      </c>
      <c r="D209" s="103">
        <v>21.35</v>
      </c>
      <c r="E209" s="103">
        <v>23.44</v>
      </c>
      <c r="F209" s="103">
        <v>23.44</v>
      </c>
      <c r="G209" s="104">
        <v>929900</v>
      </c>
      <c r="J209" s="102">
        <v>41623</v>
      </c>
      <c r="K209" s="105">
        <v>3185.99</v>
      </c>
      <c r="L209" s="105">
        <v>3269.46</v>
      </c>
      <c r="M209" s="105">
        <v>3169.13</v>
      </c>
      <c r="N209" s="105">
        <v>3259.79</v>
      </c>
      <c r="O209" s="105">
        <v>3259.79</v>
      </c>
      <c r="P209" s="103" t="s">
        <v>400</v>
      </c>
    </row>
    <row r="210" spans="1:16" ht="15" thickBot="1" x14ac:dyDescent="0.35">
      <c r="A210" s="102">
        <v>41616</v>
      </c>
      <c r="B210" s="103">
        <v>22.26</v>
      </c>
      <c r="C210" s="103">
        <v>23.29</v>
      </c>
      <c r="D210" s="103">
        <v>20.96</v>
      </c>
      <c r="E210" s="103">
        <v>22.94</v>
      </c>
      <c r="F210" s="103">
        <v>22.94</v>
      </c>
      <c r="G210" s="104">
        <v>680800</v>
      </c>
      <c r="J210" s="102">
        <v>41616</v>
      </c>
      <c r="K210" s="105">
        <v>3236.13</v>
      </c>
      <c r="L210" s="105">
        <v>3245.57</v>
      </c>
      <c r="M210" s="105">
        <v>3176.62</v>
      </c>
      <c r="N210" s="105">
        <v>3182.07</v>
      </c>
      <c r="O210" s="105">
        <v>3182.07</v>
      </c>
      <c r="P210" s="103" t="s">
        <v>400</v>
      </c>
    </row>
    <row r="211" spans="1:16" ht="15" thickBot="1" x14ac:dyDescent="0.35">
      <c r="A211" s="102">
        <v>41609</v>
      </c>
      <c r="B211" s="103">
        <v>22.5</v>
      </c>
      <c r="C211" s="103">
        <v>22.95</v>
      </c>
      <c r="D211" s="103">
        <v>21.63</v>
      </c>
      <c r="E211" s="103">
        <v>22.71</v>
      </c>
      <c r="F211" s="103">
        <v>22.71</v>
      </c>
      <c r="G211" s="104">
        <v>556100</v>
      </c>
      <c r="J211" s="102">
        <v>41609</v>
      </c>
      <c r="K211" s="105">
        <v>3235.18</v>
      </c>
      <c r="L211" s="105">
        <v>3241.39</v>
      </c>
      <c r="M211" s="105">
        <v>3187.03</v>
      </c>
      <c r="N211" s="105">
        <v>3233.99</v>
      </c>
      <c r="O211" s="105">
        <v>3233.99</v>
      </c>
      <c r="P211" s="103" t="s">
        <v>400</v>
      </c>
    </row>
    <row r="212" spans="1:16" ht="15" thickBot="1" x14ac:dyDescent="0.35">
      <c r="A212" s="102">
        <v>41602</v>
      </c>
      <c r="B212" s="103">
        <v>21.6</v>
      </c>
      <c r="C212" s="103">
        <v>22.7</v>
      </c>
      <c r="D212" s="103">
        <v>21.4</v>
      </c>
      <c r="E212" s="103">
        <v>22.45</v>
      </c>
      <c r="F212" s="103">
        <v>22.45</v>
      </c>
      <c r="G212" s="104">
        <v>349400</v>
      </c>
      <c r="J212" s="102">
        <v>41602</v>
      </c>
      <c r="K212" s="105">
        <v>3233.42</v>
      </c>
      <c r="L212" s="105">
        <v>3247.56</v>
      </c>
      <c r="M212" s="105">
        <v>3223.15</v>
      </c>
      <c r="N212" s="105">
        <v>3233.72</v>
      </c>
      <c r="O212" s="105">
        <v>3233.72</v>
      </c>
      <c r="P212" s="103" t="s">
        <v>400</v>
      </c>
    </row>
    <row r="213" spans="1:16" ht="15" thickBot="1" x14ac:dyDescent="0.35">
      <c r="A213" s="102">
        <v>41595</v>
      </c>
      <c r="B213" s="103">
        <v>21.12</v>
      </c>
      <c r="C213" s="103">
        <v>21.61</v>
      </c>
      <c r="D213" s="103">
        <v>20.6</v>
      </c>
      <c r="E213" s="103">
        <v>21.53</v>
      </c>
      <c r="F213" s="103">
        <v>21.53</v>
      </c>
      <c r="G213" s="104">
        <v>495700</v>
      </c>
      <c r="J213" s="102">
        <v>41595</v>
      </c>
      <c r="K213" s="105">
        <v>3218.51</v>
      </c>
      <c r="L213" s="105">
        <v>3230.55</v>
      </c>
      <c r="M213" s="105">
        <v>3180.78</v>
      </c>
      <c r="N213" s="105">
        <v>3230.54</v>
      </c>
      <c r="O213" s="105">
        <v>3230.54</v>
      </c>
      <c r="P213" s="103" t="s">
        <v>400</v>
      </c>
    </row>
    <row r="214" spans="1:16" ht="15" thickBot="1" x14ac:dyDescent="0.35">
      <c r="A214" s="102">
        <v>41588</v>
      </c>
      <c r="B214" s="103">
        <v>20.8</v>
      </c>
      <c r="C214" s="103">
        <v>21.39</v>
      </c>
      <c r="D214" s="103">
        <v>20.37</v>
      </c>
      <c r="E214" s="103">
        <v>21.03</v>
      </c>
      <c r="F214" s="103">
        <v>21.03</v>
      </c>
      <c r="G214" s="104">
        <v>654000</v>
      </c>
      <c r="J214" s="102">
        <v>41588</v>
      </c>
      <c r="K214" s="105">
        <v>3164.95</v>
      </c>
      <c r="L214" s="105">
        <v>3217.28</v>
      </c>
      <c r="M214" s="105">
        <v>3149.49</v>
      </c>
      <c r="N214" s="105">
        <v>3217.2</v>
      </c>
      <c r="O214" s="105">
        <v>3217.2</v>
      </c>
      <c r="P214" s="103" t="s">
        <v>400</v>
      </c>
    </row>
    <row r="215" spans="1:16" ht="15" thickBot="1" x14ac:dyDescent="0.35">
      <c r="A215" s="102">
        <v>41580</v>
      </c>
      <c r="B215" s="103">
        <v>19.68</v>
      </c>
      <c r="C215" s="103">
        <v>22.18</v>
      </c>
      <c r="D215" s="103">
        <v>18.28</v>
      </c>
      <c r="E215" s="103">
        <v>20.79</v>
      </c>
      <c r="F215" s="103">
        <v>20.79</v>
      </c>
      <c r="G215" s="104">
        <v>1404200</v>
      </c>
      <c r="J215" s="102">
        <v>41580</v>
      </c>
      <c r="K215" s="105">
        <v>3150.38</v>
      </c>
      <c r="L215" s="105">
        <v>3173.08</v>
      </c>
      <c r="M215" s="105">
        <v>3122.47</v>
      </c>
      <c r="N215" s="105">
        <v>3166.11</v>
      </c>
      <c r="O215" s="105">
        <v>3166.11</v>
      </c>
      <c r="P215" s="103" t="s">
        <v>400</v>
      </c>
    </row>
    <row r="216" spans="1:16" ht="15" thickBot="1" x14ac:dyDescent="0.35">
      <c r="A216" s="102">
        <v>41573</v>
      </c>
      <c r="B216" s="103">
        <v>19.52</v>
      </c>
      <c r="C216" s="103">
        <v>20</v>
      </c>
      <c r="D216" s="103">
        <v>19.149999999999999</v>
      </c>
      <c r="E216" s="103">
        <v>19.579999999999998</v>
      </c>
      <c r="F216" s="103">
        <v>19.579999999999998</v>
      </c>
      <c r="G216" s="104">
        <v>494300</v>
      </c>
      <c r="J216" s="102">
        <v>41573</v>
      </c>
      <c r="K216" s="105">
        <v>3142.56</v>
      </c>
      <c r="L216" s="105">
        <v>3171.2</v>
      </c>
      <c r="M216" s="105">
        <v>3131.25</v>
      </c>
      <c r="N216" s="105">
        <v>3147.21</v>
      </c>
      <c r="O216" s="105">
        <v>3147.21</v>
      </c>
      <c r="P216" s="103" t="s">
        <v>400</v>
      </c>
    </row>
    <row r="217" spans="1:16" ht="15" thickBot="1" x14ac:dyDescent="0.35">
      <c r="A217" s="102">
        <v>41566</v>
      </c>
      <c r="B217" s="103">
        <v>19.309999999999999</v>
      </c>
      <c r="C217" s="103">
        <v>20</v>
      </c>
      <c r="D217" s="103">
        <v>19.13</v>
      </c>
      <c r="E217" s="103">
        <v>19.510000000000002</v>
      </c>
      <c r="F217" s="103">
        <v>19.510000000000002</v>
      </c>
      <c r="G217" s="104">
        <v>658200</v>
      </c>
      <c r="J217" s="102">
        <v>41566</v>
      </c>
      <c r="K217" s="105">
        <v>3117.06</v>
      </c>
      <c r="L217" s="105">
        <v>3143.25</v>
      </c>
      <c r="M217" s="105">
        <v>3108.86</v>
      </c>
      <c r="N217" s="105">
        <v>3143.16</v>
      </c>
      <c r="O217" s="105">
        <v>3143.16</v>
      </c>
      <c r="P217" s="103" t="s">
        <v>400</v>
      </c>
    </row>
    <row r="218" spans="1:16" ht="15" thickBot="1" x14ac:dyDescent="0.35">
      <c r="A218" s="102">
        <v>41559</v>
      </c>
      <c r="B218" s="103">
        <v>18.63</v>
      </c>
      <c r="C218" s="103">
        <v>19.27</v>
      </c>
      <c r="D218" s="103">
        <v>18.16</v>
      </c>
      <c r="E218" s="103">
        <v>19.23</v>
      </c>
      <c r="F218" s="103">
        <v>19.23</v>
      </c>
      <c r="G218" s="104">
        <v>445900</v>
      </c>
      <c r="J218" s="102">
        <v>41559</v>
      </c>
      <c r="K218" s="105">
        <v>3035.47</v>
      </c>
      <c r="L218" s="105">
        <v>3117.21</v>
      </c>
      <c r="M218" s="105">
        <v>3021.93</v>
      </c>
      <c r="N218" s="105">
        <v>3115.77</v>
      </c>
      <c r="O218" s="105">
        <v>3115.77</v>
      </c>
      <c r="P218" s="103" t="s">
        <v>400</v>
      </c>
    </row>
    <row r="219" spans="1:16" ht="15" thickBot="1" x14ac:dyDescent="0.35">
      <c r="A219" s="102">
        <v>41552</v>
      </c>
      <c r="B219" s="103">
        <v>18.350000000000001</v>
      </c>
      <c r="C219" s="103">
        <v>18.71</v>
      </c>
      <c r="D219" s="103">
        <v>17.309999999999999</v>
      </c>
      <c r="E219" s="103">
        <v>18.71</v>
      </c>
      <c r="F219" s="103">
        <v>18.71</v>
      </c>
      <c r="G219" s="104">
        <v>485900</v>
      </c>
      <c r="J219" s="102">
        <v>41552</v>
      </c>
      <c r="K219" s="105">
        <v>3011.08</v>
      </c>
      <c r="L219" s="105">
        <v>3041.86</v>
      </c>
      <c r="M219" s="105">
        <v>2939.67</v>
      </c>
      <c r="N219" s="105">
        <v>3041.43</v>
      </c>
      <c r="O219" s="105">
        <v>3041.43</v>
      </c>
      <c r="P219" s="103" t="s">
        <v>400</v>
      </c>
    </row>
    <row r="220" spans="1:16" ht="15" thickBot="1" x14ac:dyDescent="0.35">
      <c r="A220" s="102">
        <v>41545</v>
      </c>
      <c r="B220" s="103">
        <v>18.93</v>
      </c>
      <c r="C220" s="103">
        <v>19.43</v>
      </c>
      <c r="D220" s="103">
        <v>18.3</v>
      </c>
      <c r="E220" s="103">
        <v>18.48</v>
      </c>
      <c r="F220" s="103">
        <v>18.48</v>
      </c>
      <c r="G220" s="104">
        <v>727900</v>
      </c>
      <c r="J220" s="102">
        <v>41545</v>
      </c>
      <c r="K220" s="105">
        <v>3010.37</v>
      </c>
      <c r="L220" s="105">
        <v>3027.15</v>
      </c>
      <c r="M220" s="105">
        <v>2981.11</v>
      </c>
      <c r="N220" s="105">
        <v>3017.05</v>
      </c>
      <c r="O220" s="105">
        <v>3017.05</v>
      </c>
      <c r="P220" s="103" t="s">
        <v>400</v>
      </c>
    </row>
    <row r="221" spans="1:16" ht="15" thickBot="1" x14ac:dyDescent="0.35">
      <c r="A221" s="102">
        <v>41538</v>
      </c>
      <c r="B221" s="103">
        <v>19.190000000000001</v>
      </c>
      <c r="C221" s="103">
        <v>19.510000000000002</v>
      </c>
      <c r="D221" s="103">
        <v>18.59</v>
      </c>
      <c r="E221" s="103">
        <v>19.07</v>
      </c>
      <c r="F221" s="103">
        <v>19.07</v>
      </c>
      <c r="G221" s="104">
        <v>568100</v>
      </c>
      <c r="J221" s="102">
        <v>41538</v>
      </c>
      <c r="K221" s="105">
        <v>3052.2</v>
      </c>
      <c r="L221" s="105">
        <v>3052.2</v>
      </c>
      <c r="M221" s="105">
        <v>3009.97</v>
      </c>
      <c r="N221" s="105">
        <v>3018.24</v>
      </c>
      <c r="O221" s="105">
        <v>3018.24</v>
      </c>
      <c r="P221" s="103" t="s">
        <v>400</v>
      </c>
    </row>
    <row r="222" spans="1:16" ht="15" thickBot="1" x14ac:dyDescent="0.35">
      <c r="A222" s="102">
        <v>41531</v>
      </c>
      <c r="B222" s="103">
        <v>19.02</v>
      </c>
      <c r="C222" s="103">
        <v>19.53</v>
      </c>
      <c r="D222" s="103">
        <v>18.68</v>
      </c>
      <c r="E222" s="103">
        <v>19.149999999999999</v>
      </c>
      <c r="F222" s="103">
        <v>19.149999999999999</v>
      </c>
      <c r="G222" s="104">
        <v>898800</v>
      </c>
      <c r="J222" s="102">
        <v>41531</v>
      </c>
      <c r="K222" s="105">
        <v>3016.42</v>
      </c>
      <c r="L222" s="105">
        <v>3085.02</v>
      </c>
      <c r="M222" s="105">
        <v>3016.42</v>
      </c>
      <c r="N222" s="105">
        <v>3049.47</v>
      </c>
      <c r="O222" s="105">
        <v>3049.47</v>
      </c>
      <c r="P222" s="103" t="s">
        <v>400</v>
      </c>
    </row>
    <row r="223" spans="1:16" ht="15" thickBot="1" x14ac:dyDescent="0.35">
      <c r="A223" s="102">
        <v>41524</v>
      </c>
      <c r="B223" s="103">
        <v>18.2</v>
      </c>
      <c r="C223" s="103">
        <v>18.86</v>
      </c>
      <c r="D223" s="103">
        <v>17.97</v>
      </c>
      <c r="E223" s="103">
        <v>18.850000000000001</v>
      </c>
      <c r="F223" s="103">
        <v>18.850000000000001</v>
      </c>
      <c r="G223" s="104">
        <v>438500</v>
      </c>
      <c r="J223" s="102">
        <v>41524</v>
      </c>
      <c r="K223" s="105">
        <v>2952.96</v>
      </c>
      <c r="L223" s="105">
        <v>3013.24</v>
      </c>
      <c r="M223" s="105">
        <v>2952.96</v>
      </c>
      <c r="N223" s="105">
        <v>3009.79</v>
      </c>
      <c r="O223" s="105">
        <v>3009.79</v>
      </c>
      <c r="P223" s="103" t="s">
        <v>400</v>
      </c>
    </row>
    <row r="224" spans="1:16" ht="15" thickBot="1" x14ac:dyDescent="0.35">
      <c r="A224" s="102">
        <v>41517</v>
      </c>
      <c r="B224" s="103">
        <v>17.809999999999999</v>
      </c>
      <c r="C224" s="103">
        <v>18.59</v>
      </c>
      <c r="D224" s="103">
        <v>17.41</v>
      </c>
      <c r="E224" s="103">
        <v>18.12</v>
      </c>
      <c r="F224" s="103">
        <v>18.12</v>
      </c>
      <c r="G224" s="104">
        <v>597100</v>
      </c>
      <c r="J224" s="102">
        <v>41517</v>
      </c>
      <c r="K224" s="105">
        <v>2914.42</v>
      </c>
      <c r="L224" s="105">
        <v>2967</v>
      </c>
      <c r="M224" s="105">
        <v>2909.9</v>
      </c>
      <c r="N224" s="105">
        <v>2949.8</v>
      </c>
      <c r="O224" s="105">
        <v>2949.8</v>
      </c>
      <c r="P224" s="103" t="s">
        <v>400</v>
      </c>
    </row>
    <row r="225" spans="1:16" ht="15" thickBot="1" x14ac:dyDescent="0.35">
      <c r="A225" s="102">
        <v>41510</v>
      </c>
      <c r="B225" s="103">
        <v>18.02</v>
      </c>
      <c r="C225" s="103">
        <v>18.29</v>
      </c>
      <c r="D225" s="103">
        <v>17.14</v>
      </c>
      <c r="E225" s="103">
        <v>17.579999999999998</v>
      </c>
      <c r="F225" s="103">
        <v>17.579999999999998</v>
      </c>
      <c r="G225" s="104">
        <v>478300</v>
      </c>
      <c r="J225" s="102">
        <v>41510</v>
      </c>
      <c r="K225" s="105">
        <v>2963.5</v>
      </c>
      <c r="L225" s="105">
        <v>2972.79</v>
      </c>
      <c r="M225" s="105">
        <v>2898.57</v>
      </c>
      <c r="N225" s="105">
        <v>2908.96</v>
      </c>
      <c r="O225" s="105">
        <v>2908.96</v>
      </c>
      <c r="P225" s="103" t="s">
        <v>400</v>
      </c>
    </row>
    <row r="226" spans="1:16" ht="15" thickBot="1" x14ac:dyDescent="0.35">
      <c r="A226" s="102">
        <v>41503</v>
      </c>
      <c r="B226" s="103">
        <v>17.54</v>
      </c>
      <c r="C226" s="103">
        <v>18.21</v>
      </c>
      <c r="D226" s="103">
        <v>17.29</v>
      </c>
      <c r="E226" s="103">
        <v>17.940000000000001</v>
      </c>
      <c r="F226" s="103">
        <v>17.940000000000001</v>
      </c>
      <c r="G226" s="104">
        <v>341700</v>
      </c>
      <c r="J226" s="102">
        <v>41503</v>
      </c>
      <c r="K226" s="105">
        <v>2946.63</v>
      </c>
      <c r="L226" s="105">
        <v>2964.46</v>
      </c>
      <c r="M226" s="105">
        <v>2919.04</v>
      </c>
      <c r="N226" s="105">
        <v>2962.06</v>
      </c>
      <c r="O226" s="105">
        <v>2962.06</v>
      </c>
      <c r="P226" s="103" t="s">
        <v>400</v>
      </c>
    </row>
    <row r="227" spans="1:16" ht="15" thickBot="1" x14ac:dyDescent="0.35">
      <c r="A227" s="102">
        <v>41496</v>
      </c>
      <c r="B227" s="103">
        <v>18.54</v>
      </c>
      <c r="C227" s="103">
        <v>18.899999999999999</v>
      </c>
      <c r="D227" s="103">
        <v>17.48</v>
      </c>
      <c r="E227" s="103">
        <v>17.510000000000002</v>
      </c>
      <c r="F227" s="103">
        <v>17.510000000000002</v>
      </c>
      <c r="G227" s="104">
        <v>483500</v>
      </c>
      <c r="J227" s="102">
        <v>41496</v>
      </c>
      <c r="K227" s="105">
        <v>3003.45</v>
      </c>
      <c r="L227" s="105">
        <v>3019.05</v>
      </c>
      <c r="M227" s="105">
        <v>2941.95</v>
      </c>
      <c r="N227" s="105">
        <v>2947.46</v>
      </c>
      <c r="O227" s="105">
        <v>2947.46</v>
      </c>
      <c r="P227" s="103" t="s">
        <v>400</v>
      </c>
    </row>
    <row r="228" spans="1:16" ht="15" thickBot="1" x14ac:dyDescent="0.35">
      <c r="A228" s="102">
        <v>41489</v>
      </c>
      <c r="B228" s="103">
        <v>17.940000000000001</v>
      </c>
      <c r="C228" s="103">
        <v>18.77</v>
      </c>
      <c r="D228" s="103">
        <v>17.170000000000002</v>
      </c>
      <c r="E228" s="103">
        <v>18.600000000000001</v>
      </c>
      <c r="F228" s="103">
        <v>18.600000000000001</v>
      </c>
      <c r="G228" s="104">
        <v>844800</v>
      </c>
      <c r="J228" s="102">
        <v>41489</v>
      </c>
      <c r="K228" s="105">
        <v>3035.98</v>
      </c>
      <c r="L228" s="105">
        <v>3038.08</v>
      </c>
      <c r="M228" s="105">
        <v>2996.02</v>
      </c>
      <c r="N228" s="105">
        <v>3008.79</v>
      </c>
      <c r="O228" s="105">
        <v>3008.79</v>
      </c>
      <c r="P228" s="103" t="s">
        <v>400</v>
      </c>
    </row>
    <row r="229" spans="1:16" ht="15" thickBot="1" x14ac:dyDescent="0.35">
      <c r="A229" s="102">
        <v>41482</v>
      </c>
      <c r="B229" s="103">
        <v>17.440000000000001</v>
      </c>
      <c r="C229" s="103">
        <v>18</v>
      </c>
      <c r="D229" s="103">
        <v>16.95</v>
      </c>
      <c r="E229" s="103">
        <v>17.899999999999999</v>
      </c>
      <c r="F229" s="103">
        <v>17.899999999999999</v>
      </c>
      <c r="G229" s="104">
        <v>832500</v>
      </c>
      <c r="J229" s="102">
        <v>41482</v>
      </c>
      <c r="K229" s="105">
        <v>3003.32</v>
      </c>
      <c r="L229" s="105">
        <v>3038.63</v>
      </c>
      <c r="M229" s="105">
        <v>2988.29</v>
      </c>
      <c r="N229" s="105">
        <v>3038.63</v>
      </c>
      <c r="O229" s="105">
        <v>3038.63</v>
      </c>
      <c r="P229" s="103" t="s">
        <v>400</v>
      </c>
    </row>
    <row r="230" spans="1:16" ht="15" thickBot="1" x14ac:dyDescent="0.35">
      <c r="A230" s="102">
        <v>41475</v>
      </c>
      <c r="B230" s="103">
        <v>17.850000000000001</v>
      </c>
      <c r="C230" s="103">
        <v>18.13</v>
      </c>
      <c r="D230" s="103">
        <v>16.850000000000001</v>
      </c>
      <c r="E230" s="103">
        <v>17.440000000000001</v>
      </c>
      <c r="F230" s="103">
        <v>17.440000000000001</v>
      </c>
      <c r="G230" s="104">
        <v>594000</v>
      </c>
      <c r="J230" s="102">
        <v>41475</v>
      </c>
      <c r="K230" s="105">
        <v>3010.31</v>
      </c>
      <c r="L230" s="105">
        <v>3018.06</v>
      </c>
      <c r="M230" s="105">
        <v>2977.8</v>
      </c>
      <c r="N230" s="105">
        <v>3005.51</v>
      </c>
      <c r="O230" s="105">
        <v>3005.51</v>
      </c>
      <c r="P230" s="103" t="s">
        <v>400</v>
      </c>
    </row>
    <row r="231" spans="1:16" ht="15" thickBot="1" x14ac:dyDescent="0.35">
      <c r="A231" s="102">
        <v>41468</v>
      </c>
      <c r="B231" s="103">
        <v>17.04</v>
      </c>
      <c r="C231" s="103">
        <v>18.25</v>
      </c>
      <c r="D231" s="103">
        <v>15.11</v>
      </c>
      <c r="E231" s="103">
        <v>17.829999999999998</v>
      </c>
      <c r="F231" s="103">
        <v>17.829999999999998</v>
      </c>
      <c r="G231" s="104">
        <v>792700</v>
      </c>
      <c r="J231" s="102">
        <v>41468</v>
      </c>
      <c r="K231" s="105">
        <v>2983.18</v>
      </c>
      <c r="L231" s="105">
        <v>3007.87</v>
      </c>
      <c r="M231" s="105">
        <v>2969.47</v>
      </c>
      <c r="N231" s="105">
        <v>3006.13</v>
      </c>
      <c r="O231" s="105">
        <v>3006.13</v>
      </c>
      <c r="P231" s="103" t="s">
        <v>400</v>
      </c>
    </row>
    <row r="232" spans="1:16" ht="15" thickBot="1" x14ac:dyDescent="0.35">
      <c r="A232" s="102">
        <v>41461</v>
      </c>
      <c r="B232" s="103">
        <v>15.39</v>
      </c>
      <c r="C232" s="103">
        <v>17.100000000000001</v>
      </c>
      <c r="D232" s="103">
        <v>15.35</v>
      </c>
      <c r="E232" s="103">
        <v>17.05</v>
      </c>
      <c r="F232" s="103">
        <v>17.05</v>
      </c>
      <c r="G232" s="104">
        <v>818900</v>
      </c>
      <c r="J232" s="102">
        <v>41461</v>
      </c>
      <c r="K232" s="105">
        <v>2902.09</v>
      </c>
      <c r="L232" s="105">
        <v>2984.24</v>
      </c>
      <c r="M232" s="105">
        <v>2902.09</v>
      </c>
      <c r="N232" s="105">
        <v>2984.24</v>
      </c>
      <c r="O232" s="105">
        <v>2984.24</v>
      </c>
      <c r="P232" s="103" t="s">
        <v>400</v>
      </c>
    </row>
    <row r="233" spans="1:16" ht="15" thickBot="1" x14ac:dyDescent="0.35">
      <c r="A233" s="102">
        <v>41454</v>
      </c>
      <c r="B233" s="103">
        <v>14.49</v>
      </c>
      <c r="C233" s="103">
        <v>15.63</v>
      </c>
      <c r="D233" s="103">
        <v>14.49</v>
      </c>
      <c r="E233" s="103">
        <v>15.38</v>
      </c>
      <c r="F233" s="103">
        <v>15.38</v>
      </c>
      <c r="G233" s="104">
        <v>355200</v>
      </c>
      <c r="J233" s="102">
        <v>41454</v>
      </c>
      <c r="K233" s="105">
        <v>2856.88</v>
      </c>
      <c r="L233" s="105">
        <v>2897.16</v>
      </c>
      <c r="M233" s="105">
        <v>2848.61</v>
      </c>
      <c r="N233" s="105">
        <v>2897.12</v>
      </c>
      <c r="O233" s="105">
        <v>2897.12</v>
      </c>
      <c r="P233" s="103" t="s">
        <v>400</v>
      </c>
    </row>
    <row r="234" spans="1:16" ht="15" thickBot="1" x14ac:dyDescent="0.35">
      <c r="A234" s="102">
        <v>41447</v>
      </c>
      <c r="B234" s="103">
        <v>14.41</v>
      </c>
      <c r="C234" s="103">
        <v>14.54</v>
      </c>
      <c r="D234" s="103">
        <v>14.17</v>
      </c>
      <c r="E234" s="103">
        <v>14.42</v>
      </c>
      <c r="F234" s="103">
        <v>14.42</v>
      </c>
      <c r="G234" s="104">
        <v>575200</v>
      </c>
      <c r="J234" s="102">
        <v>41447</v>
      </c>
      <c r="K234" s="105">
        <v>2818.48</v>
      </c>
      <c r="L234" s="105">
        <v>2874.73</v>
      </c>
      <c r="M234" s="105">
        <v>2768.16</v>
      </c>
      <c r="N234" s="105">
        <v>2850.66</v>
      </c>
      <c r="O234" s="105">
        <v>2850.66</v>
      </c>
      <c r="P234" s="103" t="s">
        <v>400</v>
      </c>
    </row>
    <row r="235" spans="1:16" ht="15" thickBot="1" x14ac:dyDescent="0.35">
      <c r="A235" s="102">
        <v>41440</v>
      </c>
      <c r="B235" s="103">
        <v>15.25</v>
      </c>
      <c r="C235" s="103">
        <v>15.3</v>
      </c>
      <c r="D235" s="103">
        <v>14.19</v>
      </c>
      <c r="E235" s="103">
        <v>14.56</v>
      </c>
      <c r="F235" s="103">
        <v>14.56</v>
      </c>
      <c r="G235" s="104">
        <v>688900</v>
      </c>
      <c r="J235" s="102">
        <v>41440</v>
      </c>
      <c r="K235" s="105">
        <v>2892.19</v>
      </c>
      <c r="L235" s="105">
        <v>2933.99</v>
      </c>
      <c r="M235" s="105">
        <v>2799.29</v>
      </c>
      <c r="N235" s="105">
        <v>2824.97</v>
      </c>
      <c r="O235" s="105">
        <v>2824.97</v>
      </c>
      <c r="P235" s="103" t="s">
        <v>400</v>
      </c>
    </row>
    <row r="236" spans="1:16" ht="15" thickBot="1" x14ac:dyDescent="0.35">
      <c r="A236" s="102">
        <v>41433</v>
      </c>
      <c r="B236" s="103">
        <v>15.03</v>
      </c>
      <c r="C236" s="103">
        <v>15.24</v>
      </c>
      <c r="D236" s="103">
        <v>14.67</v>
      </c>
      <c r="E236" s="103">
        <v>15.16</v>
      </c>
      <c r="F236" s="103">
        <v>15.16</v>
      </c>
      <c r="G236" s="104">
        <v>601600</v>
      </c>
      <c r="J236" s="102">
        <v>41433</v>
      </c>
      <c r="K236" s="105">
        <v>2915.75</v>
      </c>
      <c r="L236" s="105">
        <v>2922.52</v>
      </c>
      <c r="M236" s="105">
        <v>2851.86</v>
      </c>
      <c r="N236" s="105">
        <v>2885.24</v>
      </c>
      <c r="O236" s="105">
        <v>2885.24</v>
      </c>
      <c r="P236" s="103" t="s">
        <v>400</v>
      </c>
    </row>
    <row r="237" spans="1:16" ht="15" thickBot="1" x14ac:dyDescent="0.35">
      <c r="A237" s="102">
        <v>41426</v>
      </c>
      <c r="B237" s="103">
        <v>14.2</v>
      </c>
      <c r="C237" s="103">
        <v>15.07</v>
      </c>
      <c r="D237" s="103">
        <v>13.99</v>
      </c>
      <c r="E237" s="103">
        <v>15</v>
      </c>
      <c r="F237" s="103">
        <v>15</v>
      </c>
      <c r="G237" s="104">
        <v>1284400</v>
      </c>
      <c r="J237" s="102">
        <v>41426</v>
      </c>
      <c r="K237" s="105">
        <v>2891.18</v>
      </c>
      <c r="L237" s="105">
        <v>2917.56</v>
      </c>
      <c r="M237" s="105">
        <v>2833.49</v>
      </c>
      <c r="N237" s="105">
        <v>2913.46</v>
      </c>
      <c r="O237" s="105">
        <v>2913.46</v>
      </c>
      <c r="P237" s="103" t="s">
        <v>400</v>
      </c>
    </row>
    <row r="238" spans="1:16" ht="15" thickBot="1" x14ac:dyDescent="0.35">
      <c r="A238" s="102">
        <v>41419</v>
      </c>
      <c r="B238" s="103">
        <v>14.31</v>
      </c>
      <c r="C238" s="103">
        <v>14.46</v>
      </c>
      <c r="D238" s="103">
        <v>13.89</v>
      </c>
      <c r="E238" s="103">
        <v>14.2</v>
      </c>
      <c r="F238" s="103">
        <v>14.2</v>
      </c>
      <c r="G238" s="104">
        <v>501800</v>
      </c>
      <c r="J238" s="102">
        <v>41419</v>
      </c>
      <c r="K238" s="105">
        <v>2927.24</v>
      </c>
      <c r="L238" s="105">
        <v>2965.42</v>
      </c>
      <c r="M238" s="105">
        <v>2889.45</v>
      </c>
      <c r="N238" s="105">
        <v>2889.46</v>
      </c>
      <c r="O238" s="105">
        <v>2889.46</v>
      </c>
      <c r="P238" s="103" t="s">
        <v>400</v>
      </c>
    </row>
    <row r="239" spans="1:16" ht="15" thickBot="1" x14ac:dyDescent="0.35">
      <c r="A239" s="102">
        <v>41412</v>
      </c>
      <c r="B239" s="103">
        <v>14.49</v>
      </c>
      <c r="C239" s="103">
        <v>14.63</v>
      </c>
      <c r="D239" s="103">
        <v>13.94</v>
      </c>
      <c r="E239" s="103">
        <v>14.16</v>
      </c>
      <c r="F239" s="103">
        <v>14.16</v>
      </c>
      <c r="G239" s="104">
        <v>657500</v>
      </c>
      <c r="J239" s="102">
        <v>41412</v>
      </c>
      <c r="K239" s="105">
        <v>2949.44</v>
      </c>
      <c r="L239" s="105">
        <v>2987.6</v>
      </c>
      <c r="M239" s="105">
        <v>2896.67</v>
      </c>
      <c r="N239" s="105">
        <v>2921.88</v>
      </c>
      <c r="O239" s="105">
        <v>2921.88</v>
      </c>
      <c r="P239" s="103" t="s">
        <v>400</v>
      </c>
    </row>
    <row r="240" spans="1:16" ht="15" thickBot="1" x14ac:dyDescent="0.35">
      <c r="A240" s="102">
        <v>41405</v>
      </c>
      <c r="B240" s="103">
        <v>14.31</v>
      </c>
      <c r="C240" s="103">
        <v>14.65</v>
      </c>
      <c r="D240" s="103">
        <v>14.17</v>
      </c>
      <c r="E240" s="103">
        <v>14.56</v>
      </c>
      <c r="F240" s="103">
        <v>14.56</v>
      </c>
      <c r="G240" s="104">
        <v>768700</v>
      </c>
      <c r="J240" s="102">
        <v>41405</v>
      </c>
      <c r="K240" s="105">
        <v>2887.94</v>
      </c>
      <c r="L240" s="105">
        <v>2952.56</v>
      </c>
      <c r="M240" s="105">
        <v>2878.51</v>
      </c>
      <c r="N240" s="105">
        <v>2952.56</v>
      </c>
      <c r="O240" s="105">
        <v>2952.56</v>
      </c>
      <c r="P240" s="103" t="s">
        <v>400</v>
      </c>
    </row>
    <row r="241" spans="1:16" ht="15" thickBot="1" x14ac:dyDescent="0.35">
      <c r="A241" s="102">
        <v>41398</v>
      </c>
      <c r="B241" s="103">
        <v>14</v>
      </c>
      <c r="C241" s="103">
        <v>14.49</v>
      </c>
      <c r="D241" s="103">
        <v>13.88</v>
      </c>
      <c r="E241" s="103">
        <v>14.4</v>
      </c>
      <c r="F241" s="103">
        <v>14.4</v>
      </c>
      <c r="G241" s="104">
        <v>1197200</v>
      </c>
      <c r="J241" s="102">
        <v>41398</v>
      </c>
      <c r="K241" s="105">
        <v>2853.89</v>
      </c>
      <c r="L241" s="105">
        <v>2891.71</v>
      </c>
      <c r="M241" s="105">
        <v>2853.52</v>
      </c>
      <c r="N241" s="105">
        <v>2890.77</v>
      </c>
      <c r="O241" s="105">
        <v>2890.77</v>
      </c>
      <c r="P241" s="103" t="s">
        <v>400</v>
      </c>
    </row>
    <row r="242" spans="1:16" ht="15" thickBot="1" x14ac:dyDescent="0.35">
      <c r="A242" s="102">
        <v>41391</v>
      </c>
      <c r="B242" s="103">
        <v>15.66</v>
      </c>
      <c r="C242" s="103">
        <v>15.66</v>
      </c>
      <c r="D242" s="103">
        <v>13.92</v>
      </c>
      <c r="E242" s="103">
        <v>14</v>
      </c>
      <c r="F242" s="103">
        <v>14</v>
      </c>
      <c r="G242" s="104">
        <v>1380000</v>
      </c>
      <c r="J242" s="102">
        <v>41391</v>
      </c>
      <c r="K242" s="105">
        <v>2796.25</v>
      </c>
      <c r="L242" s="105">
        <v>2860.71</v>
      </c>
      <c r="M242" s="105">
        <v>2794.64</v>
      </c>
      <c r="N242" s="105">
        <v>2853.88</v>
      </c>
      <c r="O242" s="105">
        <v>2853.88</v>
      </c>
      <c r="P242" s="103" t="s">
        <v>400</v>
      </c>
    </row>
    <row r="243" spans="1:16" ht="15" thickBot="1" x14ac:dyDescent="0.35">
      <c r="A243" s="102">
        <v>41384</v>
      </c>
      <c r="B243" s="103">
        <v>15.13</v>
      </c>
      <c r="C243" s="103">
        <v>15.89</v>
      </c>
      <c r="D243" s="103">
        <v>14.94</v>
      </c>
      <c r="E243" s="103">
        <v>15.64</v>
      </c>
      <c r="F243" s="103">
        <v>15.64</v>
      </c>
      <c r="G243" s="104">
        <v>1157100</v>
      </c>
      <c r="J243" s="102">
        <v>41384</v>
      </c>
      <c r="K243" s="105">
        <v>2747.93</v>
      </c>
      <c r="L243" s="105">
        <v>2814.3</v>
      </c>
      <c r="M243" s="105">
        <v>2735.46</v>
      </c>
      <c r="N243" s="105">
        <v>2796.24</v>
      </c>
      <c r="O243" s="105">
        <v>2796.24</v>
      </c>
      <c r="P243" s="103" t="s">
        <v>400</v>
      </c>
    </row>
    <row r="244" spans="1:16" ht="15" thickBot="1" x14ac:dyDescent="0.35">
      <c r="A244" s="102">
        <v>41377</v>
      </c>
      <c r="B244" s="103">
        <v>14.69</v>
      </c>
      <c r="C244" s="103">
        <v>15.38</v>
      </c>
      <c r="D244" s="103">
        <v>14.32</v>
      </c>
      <c r="E244" s="103">
        <v>15.14</v>
      </c>
      <c r="F244" s="103">
        <v>15.14</v>
      </c>
      <c r="G244" s="104">
        <v>1678500</v>
      </c>
      <c r="J244" s="102">
        <v>41377</v>
      </c>
      <c r="K244" s="105">
        <v>2807.09</v>
      </c>
      <c r="L244" s="105">
        <v>2807.09</v>
      </c>
      <c r="M244" s="105">
        <v>2714.23</v>
      </c>
      <c r="N244" s="105">
        <v>2747.94</v>
      </c>
      <c r="O244" s="105">
        <v>2747.94</v>
      </c>
      <c r="P244" s="103" t="s">
        <v>400</v>
      </c>
    </row>
    <row r="245" spans="1:16" ht="15" thickBot="1" x14ac:dyDescent="0.35">
      <c r="A245" s="102">
        <v>41370</v>
      </c>
      <c r="B245" s="103">
        <v>13.28</v>
      </c>
      <c r="C245" s="103">
        <v>14.84</v>
      </c>
      <c r="D245" s="103">
        <v>13.04</v>
      </c>
      <c r="E245" s="103">
        <v>14.8</v>
      </c>
      <c r="F245" s="103">
        <v>14.8</v>
      </c>
      <c r="G245" s="104">
        <v>1524700</v>
      </c>
      <c r="J245" s="102">
        <v>41370</v>
      </c>
      <c r="K245" s="105">
        <v>2742.86</v>
      </c>
      <c r="L245" s="105">
        <v>2821.5</v>
      </c>
      <c r="M245" s="105">
        <v>2734.65</v>
      </c>
      <c r="N245" s="105">
        <v>2807.1</v>
      </c>
      <c r="O245" s="105">
        <v>2807.1</v>
      </c>
      <c r="P245" s="103" t="s">
        <v>400</v>
      </c>
    </row>
    <row r="246" spans="1:16" ht="15" thickBot="1" x14ac:dyDescent="0.35">
      <c r="A246" s="102">
        <v>41363</v>
      </c>
      <c r="B246" s="103">
        <v>13.97</v>
      </c>
      <c r="C246" s="103">
        <v>14.03</v>
      </c>
      <c r="D246" s="103">
        <v>13.02</v>
      </c>
      <c r="E246" s="103">
        <v>13.2</v>
      </c>
      <c r="F246" s="103">
        <v>13.2</v>
      </c>
      <c r="G246" s="104">
        <v>1075300</v>
      </c>
      <c r="J246" s="102">
        <v>41363</v>
      </c>
      <c r="K246" s="105">
        <v>2770.06</v>
      </c>
      <c r="L246" s="105">
        <v>2778.1</v>
      </c>
      <c r="M246" s="105">
        <v>2718.56</v>
      </c>
      <c r="N246" s="105">
        <v>2742.86</v>
      </c>
      <c r="O246" s="105">
        <v>2742.86</v>
      </c>
      <c r="P246" s="103" t="s">
        <v>400</v>
      </c>
    </row>
    <row r="247" spans="1:16" ht="15" thickBot="1" x14ac:dyDescent="0.35">
      <c r="A247" s="102">
        <v>41356</v>
      </c>
      <c r="B247" s="103">
        <v>14.46</v>
      </c>
      <c r="C247" s="103">
        <v>14.46</v>
      </c>
      <c r="D247" s="103">
        <v>13.75</v>
      </c>
      <c r="E247" s="103">
        <v>13.98</v>
      </c>
      <c r="F247" s="103">
        <v>13.98</v>
      </c>
      <c r="G247" s="104">
        <v>742100</v>
      </c>
      <c r="J247" s="102">
        <v>41356</v>
      </c>
      <c r="K247" s="105">
        <v>2747.25</v>
      </c>
      <c r="L247" s="105">
        <v>2771.93</v>
      </c>
      <c r="M247" s="105">
        <v>2728.48</v>
      </c>
      <c r="N247" s="105">
        <v>2770.05</v>
      </c>
      <c r="O247" s="105">
        <v>2770.05</v>
      </c>
      <c r="P247" s="103" t="s">
        <v>400</v>
      </c>
    </row>
    <row r="248" spans="1:16" ht="15" thickBot="1" x14ac:dyDescent="0.35">
      <c r="A248" s="102">
        <v>41349</v>
      </c>
      <c r="B248" s="103">
        <v>14.86</v>
      </c>
      <c r="C248" s="103">
        <v>14.86</v>
      </c>
      <c r="D248" s="103">
        <v>14.14</v>
      </c>
      <c r="E248" s="103">
        <v>14.37</v>
      </c>
      <c r="F248" s="103">
        <v>14.37</v>
      </c>
      <c r="G248" s="104">
        <v>762000</v>
      </c>
      <c r="J248" s="102">
        <v>41349</v>
      </c>
      <c r="K248" s="105">
        <v>2753.83</v>
      </c>
      <c r="L248" s="105">
        <v>2755.33</v>
      </c>
      <c r="M248" s="105">
        <v>2714.82</v>
      </c>
      <c r="N248" s="105">
        <v>2747.25</v>
      </c>
      <c r="O248" s="105">
        <v>2747.25</v>
      </c>
      <c r="P248" s="103" t="s">
        <v>400</v>
      </c>
    </row>
    <row r="249" spans="1:16" ht="15" thickBot="1" x14ac:dyDescent="0.35">
      <c r="A249" s="102">
        <v>41343</v>
      </c>
      <c r="B249" s="103">
        <v>15.49</v>
      </c>
      <c r="C249" s="103">
        <v>15.49</v>
      </c>
      <c r="D249" s="103">
        <v>14.41</v>
      </c>
      <c r="E249" s="103">
        <v>14.97</v>
      </c>
      <c r="F249" s="103">
        <v>14.97</v>
      </c>
      <c r="G249" s="104">
        <v>1592500</v>
      </c>
      <c r="J249" s="102">
        <v>41343</v>
      </c>
      <c r="K249" s="105">
        <v>2735.67</v>
      </c>
      <c r="L249" s="105">
        <v>2758.98</v>
      </c>
      <c r="M249" s="105">
        <v>2728.93</v>
      </c>
      <c r="N249" s="105">
        <v>2753.82</v>
      </c>
      <c r="O249" s="105">
        <v>2753.82</v>
      </c>
      <c r="P249" s="103" t="s">
        <v>400</v>
      </c>
    </row>
    <row r="250" spans="1:16" ht="15" thickBot="1" x14ac:dyDescent="0.35">
      <c r="A250" s="102">
        <v>41336</v>
      </c>
      <c r="B250" s="103">
        <v>15.51</v>
      </c>
      <c r="C250" s="103">
        <v>15.87</v>
      </c>
      <c r="D250" s="103">
        <v>15.13</v>
      </c>
      <c r="E250" s="103">
        <v>15.49</v>
      </c>
      <c r="F250" s="103">
        <v>15.49</v>
      </c>
      <c r="G250" s="104">
        <v>1378100</v>
      </c>
      <c r="J250" s="102">
        <v>41336</v>
      </c>
      <c r="K250" s="105">
        <v>2676.18</v>
      </c>
      <c r="L250" s="105">
        <v>2737.72</v>
      </c>
      <c r="M250" s="105">
        <v>2665.9</v>
      </c>
      <c r="N250" s="105">
        <v>2735.67</v>
      </c>
      <c r="O250" s="105">
        <v>2735.67</v>
      </c>
      <c r="P250" s="103" t="s">
        <v>400</v>
      </c>
    </row>
    <row r="251" spans="1:16" ht="15" thickBot="1" x14ac:dyDescent="0.35">
      <c r="A251" s="102">
        <v>41329</v>
      </c>
      <c r="B251" s="103">
        <v>15.76</v>
      </c>
      <c r="C251" s="103">
        <v>15.93</v>
      </c>
      <c r="D251" s="103">
        <v>14.99</v>
      </c>
      <c r="E251" s="103">
        <v>15.6</v>
      </c>
      <c r="F251" s="103">
        <v>15.6</v>
      </c>
      <c r="G251" s="104">
        <v>1413100</v>
      </c>
      <c r="J251" s="102">
        <v>41329</v>
      </c>
      <c r="K251" s="105">
        <v>2670.36</v>
      </c>
      <c r="L251" s="105">
        <v>2688.59</v>
      </c>
      <c r="M251" s="105">
        <v>2616.67</v>
      </c>
      <c r="N251" s="105">
        <v>2676.18</v>
      </c>
      <c r="O251" s="105">
        <v>2676.18</v>
      </c>
      <c r="P251" s="103" t="s">
        <v>400</v>
      </c>
    </row>
    <row r="252" spans="1:16" ht="15" thickBot="1" x14ac:dyDescent="0.35">
      <c r="A252" s="102">
        <v>41322</v>
      </c>
      <c r="B252" s="103">
        <v>15.66</v>
      </c>
      <c r="C252" s="103">
        <v>15.99</v>
      </c>
      <c r="D252" s="103">
        <v>15.48</v>
      </c>
      <c r="E252" s="103">
        <v>15.72</v>
      </c>
      <c r="F252" s="103">
        <v>15.72</v>
      </c>
      <c r="G252" s="104">
        <v>415000</v>
      </c>
      <c r="J252" s="102">
        <v>41322</v>
      </c>
      <c r="K252" s="105">
        <v>2676.2</v>
      </c>
      <c r="L252" s="105">
        <v>2696.26</v>
      </c>
      <c r="M252" s="105">
        <v>2637.11</v>
      </c>
      <c r="N252" s="105">
        <v>2670.36</v>
      </c>
      <c r="O252" s="105">
        <v>2670.36</v>
      </c>
      <c r="P252" s="103" t="s">
        <v>400</v>
      </c>
    </row>
    <row r="253" spans="1:16" ht="15" thickBot="1" x14ac:dyDescent="0.35">
      <c r="A253" s="102">
        <v>41315</v>
      </c>
      <c r="B253" s="103">
        <v>15.67</v>
      </c>
      <c r="C253" s="103">
        <v>15.8</v>
      </c>
      <c r="D253" s="103">
        <v>15.5</v>
      </c>
      <c r="E253" s="103">
        <v>15.6</v>
      </c>
      <c r="F253" s="103">
        <v>15.6</v>
      </c>
      <c r="G253" s="104">
        <v>611400</v>
      </c>
      <c r="J253" s="102">
        <v>41315</v>
      </c>
      <c r="K253" s="105">
        <v>2670.86</v>
      </c>
      <c r="L253" s="105">
        <v>2683.79</v>
      </c>
      <c r="M253" s="105">
        <v>2663.26</v>
      </c>
      <c r="N253" s="105">
        <v>2676.21</v>
      </c>
      <c r="O253" s="105">
        <v>2676.21</v>
      </c>
      <c r="P253" s="103" t="s">
        <v>400</v>
      </c>
    </row>
    <row r="254" spans="1:16" ht="15" thickBot="1" x14ac:dyDescent="0.35">
      <c r="A254" s="102">
        <v>41308</v>
      </c>
      <c r="B254" s="103">
        <v>15.96</v>
      </c>
      <c r="C254" s="103">
        <v>16.649999999999999</v>
      </c>
      <c r="D254" s="103">
        <v>15.46</v>
      </c>
      <c r="E254" s="103">
        <v>15.7</v>
      </c>
      <c r="F254" s="103">
        <v>15.7</v>
      </c>
      <c r="G254" s="104">
        <v>734200</v>
      </c>
      <c r="J254" s="102">
        <v>41308</v>
      </c>
      <c r="K254" s="105">
        <v>2660.69</v>
      </c>
      <c r="L254" s="105">
        <v>2671.49</v>
      </c>
      <c r="M254" s="105">
        <v>2628.78</v>
      </c>
      <c r="N254" s="105">
        <v>2670.85</v>
      </c>
      <c r="O254" s="105">
        <v>2670.85</v>
      </c>
      <c r="P254" s="103" t="s">
        <v>400</v>
      </c>
    </row>
    <row r="255" spans="1:16" ht="15" thickBot="1" x14ac:dyDescent="0.35">
      <c r="A255" s="102">
        <v>41301</v>
      </c>
      <c r="B255" s="103">
        <v>16.55</v>
      </c>
      <c r="C255" s="103">
        <v>16.63</v>
      </c>
      <c r="D255" s="103">
        <v>15.85</v>
      </c>
      <c r="E255" s="103">
        <v>16.3</v>
      </c>
      <c r="F255" s="103">
        <v>16.3</v>
      </c>
      <c r="G255" s="104">
        <v>1142000</v>
      </c>
      <c r="J255" s="102">
        <v>41301</v>
      </c>
      <c r="K255" s="105">
        <v>2641.64</v>
      </c>
      <c r="L255" s="105">
        <v>2662.78</v>
      </c>
      <c r="M255" s="105">
        <v>2629.99</v>
      </c>
      <c r="N255" s="105">
        <v>2660.7</v>
      </c>
      <c r="O255" s="105">
        <v>2660.7</v>
      </c>
      <c r="P255" s="103" t="s">
        <v>400</v>
      </c>
    </row>
    <row r="256" spans="1:16" ht="15" thickBot="1" x14ac:dyDescent="0.35">
      <c r="A256" s="102">
        <v>41294</v>
      </c>
      <c r="B256" s="103">
        <v>16.440000000000001</v>
      </c>
      <c r="C256" s="103">
        <v>16.670000000000002</v>
      </c>
      <c r="D256" s="103">
        <v>16.27</v>
      </c>
      <c r="E256" s="103">
        <v>16.53</v>
      </c>
      <c r="F256" s="103">
        <v>16.53</v>
      </c>
      <c r="G256" s="104">
        <v>552300</v>
      </c>
      <c r="J256" s="102">
        <v>41294</v>
      </c>
      <c r="K256" s="105">
        <v>2611.5500000000002</v>
      </c>
      <c r="L256" s="105">
        <v>2642.14</v>
      </c>
      <c r="M256" s="105">
        <v>2603.08</v>
      </c>
      <c r="N256" s="105">
        <v>2641.64</v>
      </c>
      <c r="O256" s="105">
        <v>2641.64</v>
      </c>
      <c r="P256" s="103" t="s">
        <v>400</v>
      </c>
    </row>
    <row r="257" spans="1:16" ht="15" thickBot="1" x14ac:dyDescent="0.35">
      <c r="A257" s="102">
        <v>41287</v>
      </c>
      <c r="B257" s="103">
        <v>16.78</v>
      </c>
      <c r="C257" s="103">
        <v>16.89</v>
      </c>
      <c r="D257" s="103">
        <v>16.059999999999999</v>
      </c>
      <c r="E257" s="103">
        <v>16.45</v>
      </c>
      <c r="F257" s="103">
        <v>16.45</v>
      </c>
      <c r="G257" s="104">
        <v>665100</v>
      </c>
      <c r="J257" s="102">
        <v>41287</v>
      </c>
      <c r="K257" s="105">
        <v>2586.6799999999998</v>
      </c>
      <c r="L257" s="105">
        <v>2611.54</v>
      </c>
      <c r="M257" s="105">
        <v>2572.25</v>
      </c>
      <c r="N257" s="105">
        <v>2611.54</v>
      </c>
      <c r="O257" s="105">
        <v>2611.54</v>
      </c>
      <c r="P257" s="103" t="s">
        <v>400</v>
      </c>
    </row>
    <row r="258" spans="1:16" ht="15" thickBot="1" x14ac:dyDescent="0.35">
      <c r="A258" s="102">
        <v>41280</v>
      </c>
      <c r="B258" s="103">
        <v>16.670000000000002</v>
      </c>
      <c r="C258" s="103">
        <v>16.96</v>
      </c>
      <c r="D258" s="103">
        <v>16.440000000000001</v>
      </c>
      <c r="E258" s="103">
        <v>16.77</v>
      </c>
      <c r="F258" s="103">
        <v>16.77</v>
      </c>
      <c r="G258" s="104">
        <v>1250700</v>
      </c>
      <c r="J258" s="102">
        <v>41280</v>
      </c>
      <c r="K258" s="105">
        <v>2575.66</v>
      </c>
      <c r="L258" s="105">
        <v>2587.62</v>
      </c>
      <c r="M258" s="105">
        <v>2549.62</v>
      </c>
      <c r="N258" s="105">
        <v>2586.69</v>
      </c>
      <c r="O258" s="105">
        <v>2586.69</v>
      </c>
      <c r="P258" s="103" t="s">
        <v>400</v>
      </c>
    </row>
    <row r="259" spans="1:16" ht="15" thickBot="1" x14ac:dyDescent="0.35">
      <c r="A259" s="102">
        <v>41273</v>
      </c>
      <c r="B259" s="103">
        <v>15.84</v>
      </c>
      <c r="C259" s="103">
        <v>16.989999999999998</v>
      </c>
      <c r="D259" s="103">
        <v>15.64</v>
      </c>
      <c r="E259" s="103">
        <v>16.84</v>
      </c>
      <c r="F259" s="103">
        <v>16.84</v>
      </c>
      <c r="G259" s="104">
        <v>1091300</v>
      </c>
      <c r="J259" s="102">
        <v>41273</v>
      </c>
      <c r="K259" s="105">
        <v>2462.71</v>
      </c>
      <c r="L259" s="105">
        <v>2578.25</v>
      </c>
      <c r="M259" s="105">
        <v>2455.12</v>
      </c>
      <c r="N259" s="105">
        <v>2575.66</v>
      </c>
      <c r="O259" s="105">
        <v>2575.66</v>
      </c>
      <c r="P259" s="103" t="s">
        <v>400</v>
      </c>
    </row>
    <row r="260" spans="1:16" ht="15" thickBot="1" x14ac:dyDescent="0.35">
      <c r="A260" s="102">
        <v>41266</v>
      </c>
      <c r="B260" s="103">
        <v>16.03</v>
      </c>
      <c r="C260" s="103">
        <v>16.149999999999999</v>
      </c>
      <c r="D260" s="103">
        <v>15.57</v>
      </c>
      <c r="E260" s="103">
        <v>15.83</v>
      </c>
      <c r="F260" s="103">
        <v>15.83</v>
      </c>
      <c r="G260" s="104">
        <v>742100</v>
      </c>
      <c r="J260" s="102">
        <v>41266</v>
      </c>
      <c r="K260" s="105">
        <v>2510.3200000000002</v>
      </c>
      <c r="L260" s="105">
        <v>2510.3200000000002</v>
      </c>
      <c r="M260" s="105">
        <v>2460.9</v>
      </c>
      <c r="N260" s="105">
        <v>2462.71</v>
      </c>
      <c r="O260" s="105">
        <v>2462.71</v>
      </c>
      <c r="P260" s="103" t="s">
        <v>400</v>
      </c>
    </row>
    <row r="261" spans="1:16" ht="15" thickBot="1" x14ac:dyDescent="0.35">
      <c r="A261" s="102">
        <v>41259</v>
      </c>
      <c r="B261" s="103">
        <v>15.09</v>
      </c>
      <c r="C261" s="103">
        <v>16.09</v>
      </c>
      <c r="D261" s="103">
        <v>14.7</v>
      </c>
      <c r="E261" s="103">
        <v>16.09</v>
      </c>
      <c r="F261" s="103">
        <v>16.09</v>
      </c>
      <c r="G261" s="104">
        <v>1562600</v>
      </c>
      <c r="J261" s="102">
        <v>41259</v>
      </c>
      <c r="K261" s="105">
        <v>2480.36</v>
      </c>
      <c r="L261" s="105">
        <v>2540.69</v>
      </c>
      <c r="M261" s="105">
        <v>2480.36</v>
      </c>
      <c r="N261" s="105">
        <v>2510.3200000000002</v>
      </c>
      <c r="O261" s="105">
        <v>2510.3200000000002</v>
      </c>
      <c r="P261" s="103" t="s">
        <v>400</v>
      </c>
    </row>
    <row r="262" spans="1:16" ht="15" thickBot="1" x14ac:dyDescent="0.35">
      <c r="A262" s="102">
        <v>41252</v>
      </c>
      <c r="B262" s="103">
        <v>15.27</v>
      </c>
      <c r="C262" s="103">
        <v>15.59</v>
      </c>
      <c r="D262" s="103">
        <v>14.59</v>
      </c>
      <c r="E262" s="103">
        <v>15</v>
      </c>
      <c r="F262" s="103">
        <v>15</v>
      </c>
      <c r="G262" s="104">
        <v>1131400</v>
      </c>
      <c r="J262" s="102">
        <v>41252</v>
      </c>
      <c r="K262" s="105">
        <v>2486.83</v>
      </c>
      <c r="L262" s="105">
        <v>2522.9299999999998</v>
      </c>
      <c r="M262" s="105">
        <v>2477.39</v>
      </c>
      <c r="N262" s="105">
        <v>2480.36</v>
      </c>
      <c r="O262" s="105">
        <v>2480.36</v>
      </c>
      <c r="P262" s="103" t="s">
        <v>400</v>
      </c>
    </row>
    <row r="263" spans="1:16" ht="15" thickBot="1" x14ac:dyDescent="0.35">
      <c r="A263" s="102">
        <v>41245</v>
      </c>
      <c r="B263" s="103">
        <v>15.15</v>
      </c>
      <c r="C263" s="103">
        <v>15.5</v>
      </c>
      <c r="D263" s="103">
        <v>14.83</v>
      </c>
      <c r="E263" s="103">
        <v>15.27</v>
      </c>
      <c r="F263" s="103">
        <v>15.27</v>
      </c>
      <c r="G263" s="104">
        <v>1535100</v>
      </c>
      <c r="J263" s="102">
        <v>41245</v>
      </c>
      <c r="K263" s="105">
        <v>2481.8200000000002</v>
      </c>
      <c r="L263" s="105">
        <v>2494.98</v>
      </c>
      <c r="M263" s="105">
        <v>2450.7800000000002</v>
      </c>
      <c r="N263" s="105">
        <v>2486.84</v>
      </c>
      <c r="O263" s="105">
        <v>2486.84</v>
      </c>
      <c r="P263" s="103" t="s">
        <v>400</v>
      </c>
    </row>
    <row r="264" spans="1:16" ht="15" thickBot="1" x14ac:dyDescent="0.35">
      <c r="A264" s="102">
        <v>41238</v>
      </c>
      <c r="B264" s="103">
        <v>14.9</v>
      </c>
      <c r="C264" s="103">
        <v>15.85</v>
      </c>
      <c r="D264" s="103">
        <v>14.67</v>
      </c>
      <c r="E264" s="103">
        <v>15.02</v>
      </c>
      <c r="F264" s="103">
        <v>15.02</v>
      </c>
      <c r="G264" s="104">
        <v>1230500</v>
      </c>
      <c r="J264" s="102">
        <v>41238</v>
      </c>
      <c r="K264" s="105">
        <v>2468.0500000000002</v>
      </c>
      <c r="L264" s="105">
        <v>2487.58</v>
      </c>
      <c r="M264" s="105">
        <v>2426.98</v>
      </c>
      <c r="N264" s="105">
        <v>2481.8200000000002</v>
      </c>
      <c r="O264" s="105">
        <v>2481.8200000000002</v>
      </c>
      <c r="P264" s="103" t="s">
        <v>400</v>
      </c>
    </row>
    <row r="265" spans="1:16" ht="15" thickBot="1" x14ac:dyDescent="0.35">
      <c r="A265" s="102">
        <v>41231</v>
      </c>
      <c r="B265" s="103">
        <v>14.33</v>
      </c>
      <c r="C265" s="103">
        <v>14.97</v>
      </c>
      <c r="D265" s="103">
        <v>14.22</v>
      </c>
      <c r="E265" s="103">
        <v>14.96</v>
      </c>
      <c r="F265" s="103">
        <v>14.96</v>
      </c>
      <c r="G265" s="104">
        <v>446600</v>
      </c>
      <c r="J265" s="102">
        <v>41231</v>
      </c>
      <c r="K265" s="105">
        <v>2381.02</v>
      </c>
      <c r="L265" s="105">
        <v>2468.06</v>
      </c>
      <c r="M265" s="105">
        <v>2381.02</v>
      </c>
      <c r="N265" s="105">
        <v>2468.06</v>
      </c>
      <c r="O265" s="105">
        <v>2468.06</v>
      </c>
      <c r="P265" s="103" t="s">
        <v>400</v>
      </c>
    </row>
    <row r="266" spans="1:16" ht="15" thickBot="1" x14ac:dyDescent="0.35">
      <c r="A266" s="102">
        <v>41224</v>
      </c>
      <c r="B266" s="103">
        <v>14.27</v>
      </c>
      <c r="C266" s="103">
        <v>14.52</v>
      </c>
      <c r="D266" s="103">
        <v>13.76</v>
      </c>
      <c r="E266" s="103">
        <v>14.15</v>
      </c>
      <c r="F266" s="103">
        <v>14.15</v>
      </c>
      <c r="G266" s="104">
        <v>905900</v>
      </c>
      <c r="J266" s="102">
        <v>41224</v>
      </c>
      <c r="K266" s="105">
        <v>2413.9299999999998</v>
      </c>
      <c r="L266" s="105">
        <v>2429.5</v>
      </c>
      <c r="M266" s="105">
        <v>2351.85</v>
      </c>
      <c r="N266" s="105">
        <v>2381.02</v>
      </c>
      <c r="O266" s="105">
        <v>2381.02</v>
      </c>
      <c r="P266" s="103" t="s">
        <v>400</v>
      </c>
    </row>
    <row r="267" spans="1:16" ht="15" thickBot="1" x14ac:dyDescent="0.35">
      <c r="A267" s="102">
        <v>41216</v>
      </c>
      <c r="B267" s="103">
        <v>14.46</v>
      </c>
      <c r="C267" s="103">
        <v>14.84</v>
      </c>
      <c r="D267" s="103">
        <v>13.95</v>
      </c>
      <c r="E267" s="103">
        <v>14.23</v>
      </c>
      <c r="F267" s="103">
        <v>14.23</v>
      </c>
      <c r="G267" s="104">
        <v>1027200</v>
      </c>
      <c r="J267" s="102">
        <v>41216</v>
      </c>
      <c r="K267" s="105">
        <v>2471.3000000000002</v>
      </c>
      <c r="L267" s="105">
        <v>2505</v>
      </c>
      <c r="M267" s="105">
        <v>2402.0700000000002</v>
      </c>
      <c r="N267" s="105">
        <v>2413.92</v>
      </c>
      <c r="O267" s="105">
        <v>2413.92</v>
      </c>
      <c r="P267" s="103" t="s">
        <v>400</v>
      </c>
    </row>
    <row r="268" spans="1:16" ht="15" thickBot="1" x14ac:dyDescent="0.35">
      <c r="A268" s="102">
        <v>41209</v>
      </c>
      <c r="B268" s="103">
        <v>13.48</v>
      </c>
      <c r="C268" s="103">
        <v>14.48</v>
      </c>
      <c r="D268" s="103">
        <v>13</v>
      </c>
      <c r="E268" s="103">
        <v>14.41</v>
      </c>
      <c r="F268" s="103">
        <v>14.41</v>
      </c>
      <c r="G268" s="104">
        <v>672400</v>
      </c>
      <c r="J268" s="102">
        <v>41209</v>
      </c>
      <c r="K268" s="105">
        <v>2466.8000000000002</v>
      </c>
      <c r="L268" s="105">
        <v>2506.34</v>
      </c>
      <c r="M268" s="105">
        <v>2456.37</v>
      </c>
      <c r="N268" s="105">
        <v>2471.3000000000002</v>
      </c>
      <c r="O268" s="105">
        <v>2471.3000000000002</v>
      </c>
      <c r="P268" s="103" t="s">
        <v>400</v>
      </c>
    </row>
    <row r="269" spans="1:16" ht="15" thickBot="1" x14ac:dyDescent="0.35">
      <c r="A269" s="102">
        <v>41202</v>
      </c>
      <c r="B269" s="103">
        <v>13.13</v>
      </c>
      <c r="C269" s="103">
        <v>13.62</v>
      </c>
      <c r="D269" s="103">
        <v>12.5</v>
      </c>
      <c r="E269" s="103">
        <v>13.49</v>
      </c>
      <c r="F269" s="103">
        <v>13.49</v>
      </c>
      <c r="G269" s="104">
        <v>790100</v>
      </c>
      <c r="J269" s="102">
        <v>41202</v>
      </c>
      <c r="K269" s="105">
        <v>2503.81</v>
      </c>
      <c r="L269" s="105">
        <v>2507.69</v>
      </c>
      <c r="M269" s="105">
        <v>2451.6999999999998</v>
      </c>
      <c r="N269" s="105">
        <v>2466.8000000000002</v>
      </c>
      <c r="O269" s="105">
        <v>2466.8000000000002</v>
      </c>
      <c r="P269" s="103" t="s">
        <v>400</v>
      </c>
    </row>
    <row r="270" spans="1:16" ht="15" thickBot="1" x14ac:dyDescent="0.35">
      <c r="A270" s="102">
        <v>41195</v>
      </c>
      <c r="B270" s="103">
        <v>14.01</v>
      </c>
      <c r="C270" s="103">
        <v>14.17</v>
      </c>
      <c r="D270" s="103">
        <v>13.01</v>
      </c>
      <c r="E270" s="103">
        <v>13.16</v>
      </c>
      <c r="F270" s="103">
        <v>13.16</v>
      </c>
      <c r="G270" s="104">
        <v>777700</v>
      </c>
      <c r="J270" s="102">
        <v>41195</v>
      </c>
      <c r="K270" s="105">
        <v>2495.2800000000002</v>
      </c>
      <c r="L270" s="105">
        <v>2557.48</v>
      </c>
      <c r="M270" s="105">
        <v>2493.0100000000002</v>
      </c>
      <c r="N270" s="105">
        <v>2503.8000000000002</v>
      </c>
      <c r="O270" s="105">
        <v>2503.8000000000002</v>
      </c>
      <c r="P270" s="103" t="s">
        <v>400</v>
      </c>
    </row>
    <row r="271" spans="1:16" ht="15" thickBot="1" x14ac:dyDescent="0.35">
      <c r="A271" s="102">
        <v>41188</v>
      </c>
      <c r="B271" s="103">
        <v>14.89</v>
      </c>
      <c r="C271" s="103">
        <v>14.93</v>
      </c>
      <c r="D271" s="103">
        <v>13.88</v>
      </c>
      <c r="E271" s="103">
        <v>14</v>
      </c>
      <c r="F271" s="103">
        <v>14</v>
      </c>
      <c r="G271" s="104">
        <v>709300</v>
      </c>
      <c r="J271" s="102">
        <v>41188</v>
      </c>
      <c r="K271" s="105">
        <v>2551.0300000000002</v>
      </c>
      <c r="L271" s="105">
        <v>2551.0300000000002</v>
      </c>
      <c r="M271" s="105">
        <v>2489.9699999999998</v>
      </c>
      <c r="N271" s="105">
        <v>2495.2800000000002</v>
      </c>
      <c r="O271" s="105">
        <v>2495.2800000000002</v>
      </c>
      <c r="P271" s="103" t="s">
        <v>400</v>
      </c>
    </row>
    <row r="272" spans="1:16" ht="15" thickBot="1" x14ac:dyDescent="0.35">
      <c r="A272" s="102">
        <v>41181</v>
      </c>
      <c r="B272" s="103">
        <v>14.24</v>
      </c>
      <c r="C272" s="103">
        <v>15.16</v>
      </c>
      <c r="D272" s="103">
        <v>14.23</v>
      </c>
      <c r="E272" s="103">
        <v>14.91</v>
      </c>
      <c r="F272" s="103">
        <v>14.91</v>
      </c>
      <c r="G272" s="104">
        <v>1100000</v>
      </c>
      <c r="J272" s="102">
        <v>41181</v>
      </c>
      <c r="K272" s="105">
        <v>2514.3200000000002</v>
      </c>
      <c r="L272" s="105">
        <v>2567.6799999999998</v>
      </c>
      <c r="M272" s="105">
        <v>2511.15</v>
      </c>
      <c r="N272" s="105">
        <v>2551.0300000000002</v>
      </c>
      <c r="O272" s="105">
        <v>2551.0300000000002</v>
      </c>
      <c r="P272" s="103" t="s">
        <v>400</v>
      </c>
    </row>
    <row r="273" spans="1:16" ht="15" thickBot="1" x14ac:dyDescent="0.35">
      <c r="A273" s="102">
        <v>41174</v>
      </c>
      <c r="B273" s="103">
        <v>14.8</v>
      </c>
      <c r="C273" s="103">
        <v>14.93</v>
      </c>
      <c r="D273" s="103">
        <v>14.21</v>
      </c>
      <c r="E273" s="103">
        <v>14.21</v>
      </c>
      <c r="F273" s="103">
        <v>14.21</v>
      </c>
      <c r="G273" s="104">
        <v>591500</v>
      </c>
      <c r="J273" s="102">
        <v>41174</v>
      </c>
      <c r="K273" s="105">
        <v>2546.92</v>
      </c>
      <c r="L273" s="105">
        <v>2552.31</v>
      </c>
      <c r="M273" s="105">
        <v>2495.54</v>
      </c>
      <c r="N273" s="105">
        <v>2513.9299999999998</v>
      </c>
      <c r="O273" s="105">
        <v>2513.9299999999998</v>
      </c>
      <c r="P273" s="103" t="s">
        <v>400</v>
      </c>
    </row>
    <row r="274" spans="1:16" ht="15" thickBot="1" x14ac:dyDescent="0.35">
      <c r="A274" s="102">
        <v>41167</v>
      </c>
      <c r="B274" s="103">
        <v>14.82</v>
      </c>
      <c r="C274" s="103">
        <v>15.1</v>
      </c>
      <c r="D274" s="103">
        <v>14.6</v>
      </c>
      <c r="E274" s="103">
        <v>14.83</v>
      </c>
      <c r="F274" s="103">
        <v>14.83</v>
      </c>
      <c r="G274" s="104">
        <v>798200</v>
      </c>
      <c r="J274" s="102">
        <v>41167</v>
      </c>
      <c r="K274" s="105">
        <v>2556.13</v>
      </c>
      <c r="L274" s="105">
        <v>2558.98</v>
      </c>
      <c r="M274" s="105">
        <v>2528.85</v>
      </c>
      <c r="N274" s="105">
        <v>2546.92</v>
      </c>
      <c r="O274" s="105">
        <v>2546.92</v>
      </c>
      <c r="P274" s="103" t="s">
        <v>400</v>
      </c>
    </row>
    <row r="275" spans="1:16" ht="15" thickBot="1" x14ac:dyDescent="0.35">
      <c r="A275" s="102">
        <v>41160</v>
      </c>
      <c r="B275" s="103">
        <v>14.98</v>
      </c>
      <c r="C275" s="103">
        <v>15.1</v>
      </c>
      <c r="D275" s="103">
        <v>14.25</v>
      </c>
      <c r="E275" s="103">
        <v>14.88</v>
      </c>
      <c r="F275" s="103">
        <v>14.88</v>
      </c>
      <c r="G275" s="104">
        <v>522100</v>
      </c>
      <c r="J275" s="102">
        <v>41160</v>
      </c>
      <c r="K275" s="105">
        <v>2506.37</v>
      </c>
      <c r="L275" s="105">
        <v>2571.34</v>
      </c>
      <c r="M275" s="105">
        <v>2490.91</v>
      </c>
      <c r="N275" s="105">
        <v>2556.13</v>
      </c>
      <c r="O275" s="105">
        <v>2556.13</v>
      </c>
      <c r="P275" s="103" t="s">
        <v>400</v>
      </c>
    </row>
    <row r="276" spans="1:16" ht="15" thickBot="1" x14ac:dyDescent="0.35">
      <c r="A276" s="102">
        <v>41153</v>
      </c>
      <c r="B276" s="103">
        <v>14.7</v>
      </c>
      <c r="C276" s="103">
        <v>15.1</v>
      </c>
      <c r="D276" s="103">
        <v>14.49</v>
      </c>
      <c r="E276" s="103">
        <v>15.02</v>
      </c>
      <c r="F276" s="103">
        <v>15.02</v>
      </c>
      <c r="G276" s="104">
        <v>403500</v>
      </c>
      <c r="J276" s="102">
        <v>41153</v>
      </c>
      <c r="K276" s="105">
        <v>2450.54</v>
      </c>
      <c r="L276" s="105">
        <v>2506.37</v>
      </c>
      <c r="M276" s="105">
        <v>2433.29</v>
      </c>
      <c r="N276" s="105">
        <v>2506.37</v>
      </c>
      <c r="O276" s="105">
        <v>2506.37</v>
      </c>
      <c r="P276" s="103" t="s">
        <v>400</v>
      </c>
    </row>
    <row r="277" spans="1:16" ht="15" thickBot="1" x14ac:dyDescent="0.35">
      <c r="A277" s="102">
        <v>41146</v>
      </c>
      <c r="B277" s="103">
        <v>14.89</v>
      </c>
      <c r="C277" s="103">
        <v>15.2</v>
      </c>
      <c r="D277" s="103">
        <v>14.69</v>
      </c>
      <c r="E277" s="103">
        <v>14.73</v>
      </c>
      <c r="F277" s="103">
        <v>14.73</v>
      </c>
      <c r="G277" s="104">
        <v>596600</v>
      </c>
      <c r="J277" s="102">
        <v>41146</v>
      </c>
      <c r="K277" s="105">
        <v>2457.41</v>
      </c>
      <c r="L277" s="105">
        <v>2466.1799999999998</v>
      </c>
      <c r="M277" s="105">
        <v>2433.56</v>
      </c>
      <c r="N277" s="105">
        <v>2450.6</v>
      </c>
      <c r="O277" s="105">
        <v>2450.6</v>
      </c>
      <c r="P277" s="103" t="s">
        <v>400</v>
      </c>
    </row>
    <row r="278" spans="1:16" ht="15" thickBot="1" x14ac:dyDescent="0.35">
      <c r="A278" s="102">
        <v>41139</v>
      </c>
      <c r="B278" s="103">
        <v>15.44</v>
      </c>
      <c r="C278" s="103">
        <v>15.8</v>
      </c>
      <c r="D278" s="103">
        <v>14.74</v>
      </c>
      <c r="E278" s="103">
        <v>14.85</v>
      </c>
      <c r="F278" s="103">
        <v>14.85</v>
      </c>
      <c r="G278" s="104">
        <v>702200</v>
      </c>
      <c r="J278" s="102">
        <v>41139</v>
      </c>
      <c r="K278" s="105">
        <v>2468.9899999999998</v>
      </c>
      <c r="L278" s="105">
        <v>2483.87</v>
      </c>
      <c r="M278" s="105">
        <v>2434.25</v>
      </c>
      <c r="N278" s="105">
        <v>2457.4</v>
      </c>
      <c r="O278" s="105">
        <v>2457.4</v>
      </c>
      <c r="P278" s="103" t="s">
        <v>400</v>
      </c>
    </row>
    <row r="279" spans="1:16" ht="15" thickBot="1" x14ac:dyDescent="0.35">
      <c r="A279" s="102">
        <v>41132</v>
      </c>
      <c r="B279" s="103">
        <v>14.8</v>
      </c>
      <c r="C279" s="103">
        <v>15.53</v>
      </c>
      <c r="D279" s="103">
        <v>14.55</v>
      </c>
      <c r="E279" s="103">
        <v>15.5</v>
      </c>
      <c r="F279" s="103">
        <v>15.5</v>
      </c>
      <c r="G279" s="104">
        <v>608900</v>
      </c>
      <c r="J279" s="102">
        <v>41132</v>
      </c>
      <c r="K279" s="105">
        <v>2445.65</v>
      </c>
      <c r="L279" s="105">
        <v>2469.86</v>
      </c>
      <c r="M279" s="105">
        <v>2430.77</v>
      </c>
      <c r="N279" s="105">
        <v>2469</v>
      </c>
      <c r="O279" s="105">
        <v>2469</v>
      </c>
      <c r="P279" s="103" t="s">
        <v>400</v>
      </c>
    </row>
    <row r="280" spans="1:16" ht="15" thickBot="1" x14ac:dyDescent="0.35">
      <c r="A280" s="102">
        <v>41125</v>
      </c>
      <c r="B280" s="103">
        <v>14.4</v>
      </c>
      <c r="C280" s="103">
        <v>14.82</v>
      </c>
      <c r="D280" s="103">
        <v>14.4</v>
      </c>
      <c r="E280" s="103">
        <v>14.79</v>
      </c>
      <c r="F280" s="103">
        <v>14.79</v>
      </c>
      <c r="G280" s="104">
        <v>606600</v>
      </c>
      <c r="J280" s="102">
        <v>41125</v>
      </c>
      <c r="K280" s="105">
        <v>2417.86</v>
      </c>
      <c r="L280" s="105">
        <v>2445.9</v>
      </c>
      <c r="M280" s="105">
        <v>2417.86</v>
      </c>
      <c r="N280" s="105">
        <v>2445.64</v>
      </c>
      <c r="O280" s="105">
        <v>2445.64</v>
      </c>
      <c r="P280" s="103" t="s">
        <v>400</v>
      </c>
    </row>
    <row r="281" spans="1:16" ht="15" thickBot="1" x14ac:dyDescent="0.35">
      <c r="A281" s="102">
        <v>41118</v>
      </c>
      <c r="B281" s="103">
        <v>14.51</v>
      </c>
      <c r="C281" s="103">
        <v>14.82</v>
      </c>
      <c r="D281" s="103">
        <v>13.75</v>
      </c>
      <c r="E281" s="103">
        <v>14.37</v>
      </c>
      <c r="F281" s="103">
        <v>14.37</v>
      </c>
      <c r="G281" s="104">
        <v>1091200</v>
      </c>
      <c r="J281" s="102">
        <v>41118</v>
      </c>
      <c r="K281" s="105">
        <v>2408.0700000000002</v>
      </c>
      <c r="L281" s="105">
        <v>2422.9899999999998</v>
      </c>
      <c r="M281" s="105">
        <v>2354.13</v>
      </c>
      <c r="N281" s="105">
        <v>2417.77</v>
      </c>
      <c r="O281" s="105">
        <v>2417.77</v>
      </c>
      <c r="P281" s="103" t="s">
        <v>400</v>
      </c>
    </row>
    <row r="282" spans="1:16" ht="15" thickBot="1" x14ac:dyDescent="0.35">
      <c r="A282" s="102">
        <v>41111</v>
      </c>
      <c r="B282" s="103">
        <v>14</v>
      </c>
      <c r="C282" s="103">
        <v>14.56</v>
      </c>
      <c r="D282" s="103">
        <v>13.49</v>
      </c>
      <c r="E282" s="103">
        <v>14.48</v>
      </c>
      <c r="F282" s="103">
        <v>14.48</v>
      </c>
      <c r="G282" s="104">
        <v>548400</v>
      </c>
      <c r="J282" s="102">
        <v>41111</v>
      </c>
      <c r="K282" s="105">
        <v>2367.2600000000002</v>
      </c>
      <c r="L282" s="105">
        <v>2413.52</v>
      </c>
      <c r="M282" s="105">
        <v>2309.27</v>
      </c>
      <c r="N282" s="105">
        <v>2408.0700000000002</v>
      </c>
      <c r="O282" s="105">
        <v>2408.0700000000002</v>
      </c>
      <c r="P282" s="103" t="s">
        <v>400</v>
      </c>
    </row>
    <row r="283" spans="1:16" ht="15" thickBot="1" x14ac:dyDescent="0.35">
      <c r="A283" s="102">
        <v>41104</v>
      </c>
      <c r="B283" s="103">
        <v>14.94</v>
      </c>
      <c r="C283" s="103">
        <v>14.94</v>
      </c>
      <c r="D283" s="103">
        <v>14.17</v>
      </c>
      <c r="E283" s="103">
        <v>14.23</v>
      </c>
      <c r="F283" s="103">
        <v>14.23</v>
      </c>
      <c r="G283" s="104">
        <v>484500</v>
      </c>
      <c r="J283" s="102">
        <v>41104</v>
      </c>
      <c r="K283" s="105">
        <v>2356.39</v>
      </c>
      <c r="L283" s="105">
        <v>2397.71</v>
      </c>
      <c r="M283" s="105">
        <v>2336.0700000000002</v>
      </c>
      <c r="N283" s="105">
        <v>2367.2600000000002</v>
      </c>
      <c r="O283" s="105">
        <v>2367.2600000000002</v>
      </c>
      <c r="P283" s="103" t="s">
        <v>400</v>
      </c>
    </row>
    <row r="284" spans="1:16" ht="15" thickBot="1" x14ac:dyDescent="0.35">
      <c r="A284" s="102">
        <v>41097</v>
      </c>
      <c r="B284" s="103">
        <v>14.99</v>
      </c>
      <c r="C284" s="103">
        <v>15.09</v>
      </c>
      <c r="D284" s="103">
        <v>14.04</v>
      </c>
      <c r="E284" s="103">
        <v>14.92</v>
      </c>
      <c r="F284" s="103">
        <v>14.92</v>
      </c>
      <c r="G284" s="104">
        <v>960600</v>
      </c>
      <c r="J284" s="102">
        <v>41097</v>
      </c>
      <c r="K284" s="105">
        <v>2352.35</v>
      </c>
      <c r="L284" s="105">
        <v>2364.2600000000002</v>
      </c>
      <c r="M284" s="105">
        <v>2301.9299999999998</v>
      </c>
      <c r="N284" s="105">
        <v>2356.4</v>
      </c>
      <c r="O284" s="105">
        <v>2356.4</v>
      </c>
      <c r="P284" s="103" t="s">
        <v>400</v>
      </c>
    </row>
    <row r="285" spans="1:16" ht="15" thickBot="1" x14ac:dyDescent="0.35">
      <c r="A285" s="102">
        <v>41090</v>
      </c>
      <c r="B285" s="103">
        <v>15.08</v>
      </c>
      <c r="C285" s="103">
        <v>15.87</v>
      </c>
      <c r="D285" s="103">
        <v>14.96</v>
      </c>
      <c r="E285" s="103">
        <v>15.02</v>
      </c>
      <c r="F285" s="103">
        <v>15.02</v>
      </c>
      <c r="G285" s="104">
        <v>462200</v>
      </c>
      <c r="J285" s="102">
        <v>41090</v>
      </c>
      <c r="K285" s="105">
        <v>2364.09</v>
      </c>
      <c r="L285" s="105">
        <v>2385.88</v>
      </c>
      <c r="M285" s="105">
        <v>2339.9699999999998</v>
      </c>
      <c r="N285" s="105">
        <v>2352.34</v>
      </c>
      <c r="O285" s="105">
        <v>2352.34</v>
      </c>
      <c r="P285" s="103" t="s">
        <v>400</v>
      </c>
    </row>
    <row r="286" spans="1:16" ht="15" thickBot="1" x14ac:dyDescent="0.35">
      <c r="A286" s="102">
        <v>41083</v>
      </c>
      <c r="B286" s="103">
        <v>15.07</v>
      </c>
      <c r="C286" s="103">
        <v>15.21</v>
      </c>
      <c r="D286" s="103">
        <v>14.32</v>
      </c>
      <c r="E286" s="103">
        <v>15.15</v>
      </c>
      <c r="F286" s="103">
        <v>15.15</v>
      </c>
      <c r="G286" s="104">
        <v>697500</v>
      </c>
      <c r="J286" s="102">
        <v>41083</v>
      </c>
      <c r="K286" s="105">
        <v>2315.65</v>
      </c>
      <c r="L286" s="105">
        <v>2363.79</v>
      </c>
      <c r="M286" s="105">
        <v>2271.02</v>
      </c>
      <c r="N286" s="105">
        <v>2363.79</v>
      </c>
      <c r="O286" s="105">
        <v>2363.79</v>
      </c>
      <c r="P286" s="103" t="s">
        <v>400</v>
      </c>
    </row>
    <row r="287" spans="1:16" ht="15" thickBot="1" x14ac:dyDescent="0.35">
      <c r="A287" s="102">
        <v>41076</v>
      </c>
      <c r="B287" s="103">
        <v>13.56</v>
      </c>
      <c r="C287" s="103">
        <v>15.37</v>
      </c>
      <c r="D287" s="103">
        <v>13.56</v>
      </c>
      <c r="E287" s="103">
        <v>15.3</v>
      </c>
      <c r="F287" s="103">
        <v>15.3</v>
      </c>
      <c r="G287" s="104">
        <v>1816200</v>
      </c>
      <c r="J287" s="102">
        <v>41076</v>
      </c>
      <c r="K287" s="105">
        <v>2328.67</v>
      </c>
      <c r="L287" s="105">
        <v>2364.4699999999998</v>
      </c>
      <c r="M287" s="105">
        <v>2296.94</v>
      </c>
      <c r="N287" s="105">
        <v>2315.65</v>
      </c>
      <c r="O287" s="105">
        <v>2315.65</v>
      </c>
      <c r="P287" s="103" t="s">
        <v>400</v>
      </c>
    </row>
    <row r="288" spans="1:16" ht="15" thickBot="1" x14ac:dyDescent="0.35">
      <c r="A288" s="102">
        <v>41069</v>
      </c>
      <c r="B288" s="103">
        <v>14.33</v>
      </c>
      <c r="C288" s="103">
        <v>14.42</v>
      </c>
      <c r="D288" s="103">
        <v>13.3</v>
      </c>
      <c r="E288" s="103">
        <v>13.64</v>
      </c>
      <c r="F288" s="103">
        <v>13.64</v>
      </c>
      <c r="G288" s="104">
        <v>1480600</v>
      </c>
      <c r="J288" s="102">
        <v>41069</v>
      </c>
      <c r="K288" s="105">
        <v>2297.8200000000002</v>
      </c>
      <c r="L288" s="105">
        <v>2329.4499999999998</v>
      </c>
      <c r="M288" s="105">
        <v>2265.02</v>
      </c>
      <c r="N288" s="105">
        <v>2328.66</v>
      </c>
      <c r="O288" s="105">
        <v>2328.66</v>
      </c>
      <c r="P288" s="103" t="s">
        <v>400</v>
      </c>
    </row>
    <row r="289" spans="1:16" ht="15" thickBot="1" x14ac:dyDescent="0.35">
      <c r="A289" s="102">
        <v>41062</v>
      </c>
      <c r="B289" s="103">
        <v>14.08</v>
      </c>
      <c r="C289" s="103">
        <v>14.11</v>
      </c>
      <c r="D289" s="103">
        <v>13.65</v>
      </c>
      <c r="E289" s="103">
        <v>13.97</v>
      </c>
      <c r="F289" s="103">
        <v>13.97</v>
      </c>
      <c r="G289" s="104">
        <v>562300</v>
      </c>
      <c r="J289" s="102">
        <v>41062</v>
      </c>
      <c r="K289" s="105">
        <v>2214.4</v>
      </c>
      <c r="L289" s="105">
        <v>2303.54</v>
      </c>
      <c r="M289" s="105">
        <v>2194.89</v>
      </c>
      <c r="N289" s="105">
        <v>2297.8200000000002</v>
      </c>
      <c r="O289" s="105">
        <v>2297.8200000000002</v>
      </c>
      <c r="P289" s="103" t="s">
        <v>400</v>
      </c>
    </row>
    <row r="290" spans="1:16" ht="15" thickBot="1" x14ac:dyDescent="0.35">
      <c r="A290" s="102">
        <v>41055</v>
      </c>
      <c r="B290" s="103">
        <v>14.12</v>
      </c>
      <c r="C290" s="103">
        <v>15.25</v>
      </c>
      <c r="D290" s="103">
        <v>13.5</v>
      </c>
      <c r="E290" s="103">
        <v>14.08</v>
      </c>
      <c r="F290" s="103">
        <v>14.08</v>
      </c>
      <c r="G290" s="104">
        <v>1138400</v>
      </c>
      <c r="J290" s="102">
        <v>41055</v>
      </c>
      <c r="K290" s="105">
        <v>2281.92</v>
      </c>
      <c r="L290" s="105">
        <v>2311.5100000000002</v>
      </c>
      <c r="M290" s="105">
        <v>2212.94</v>
      </c>
      <c r="N290" s="105">
        <v>2214.41</v>
      </c>
      <c r="O290" s="105">
        <v>2214.41</v>
      </c>
      <c r="P290" s="103" t="s">
        <v>400</v>
      </c>
    </row>
    <row r="291" spans="1:16" ht="15" thickBot="1" x14ac:dyDescent="0.35">
      <c r="A291" s="102">
        <v>41048</v>
      </c>
      <c r="B291" s="103">
        <v>13.99</v>
      </c>
      <c r="C291" s="103">
        <v>14.36</v>
      </c>
      <c r="D291" s="103">
        <v>13.62</v>
      </c>
      <c r="E291" s="103">
        <v>13.7</v>
      </c>
      <c r="F291" s="103">
        <v>13.7</v>
      </c>
      <c r="G291" s="104">
        <v>489700</v>
      </c>
      <c r="J291" s="102">
        <v>41048</v>
      </c>
      <c r="K291" s="105">
        <v>2242.25</v>
      </c>
      <c r="L291" s="105">
        <v>2299.7800000000002</v>
      </c>
      <c r="M291" s="105">
        <v>2242.25</v>
      </c>
      <c r="N291" s="105">
        <v>2281.92</v>
      </c>
      <c r="O291" s="105">
        <v>2281.92</v>
      </c>
      <c r="P291" s="103" t="s">
        <v>400</v>
      </c>
    </row>
    <row r="292" spans="1:16" ht="15" thickBot="1" x14ac:dyDescent="0.35">
      <c r="A292" s="102">
        <v>41041</v>
      </c>
      <c r="B292" s="103">
        <v>14.99</v>
      </c>
      <c r="C292" s="103">
        <v>15.11</v>
      </c>
      <c r="D292" s="103">
        <v>13.88</v>
      </c>
      <c r="E292" s="103">
        <v>13.91</v>
      </c>
      <c r="F292" s="103">
        <v>13.91</v>
      </c>
      <c r="G292" s="104">
        <v>444000</v>
      </c>
      <c r="J292" s="102">
        <v>41041</v>
      </c>
      <c r="K292" s="105">
        <v>2341.23</v>
      </c>
      <c r="L292" s="105">
        <v>2341.23</v>
      </c>
      <c r="M292" s="105">
        <v>2236.73</v>
      </c>
      <c r="N292" s="105">
        <v>2242.25</v>
      </c>
      <c r="O292" s="105">
        <v>2242.25</v>
      </c>
      <c r="P292" s="103" t="s">
        <v>400</v>
      </c>
    </row>
    <row r="293" spans="1:16" ht="15" thickBot="1" x14ac:dyDescent="0.35">
      <c r="A293" s="102">
        <v>41034</v>
      </c>
      <c r="B293" s="103">
        <v>14.3</v>
      </c>
      <c r="C293" s="103">
        <v>15.74</v>
      </c>
      <c r="D293" s="103">
        <v>14.26</v>
      </c>
      <c r="E293" s="103">
        <v>15.15</v>
      </c>
      <c r="F293" s="103">
        <v>15.15</v>
      </c>
      <c r="G293" s="104">
        <v>912100</v>
      </c>
      <c r="J293" s="102">
        <v>41034</v>
      </c>
      <c r="K293" s="105">
        <v>2366.39</v>
      </c>
      <c r="L293" s="105">
        <v>2374.6799999999998</v>
      </c>
      <c r="M293" s="105">
        <v>2321.89</v>
      </c>
      <c r="N293" s="105">
        <v>2341.23</v>
      </c>
      <c r="O293" s="105">
        <v>2341.23</v>
      </c>
      <c r="P293" s="103" t="s">
        <v>400</v>
      </c>
    </row>
    <row r="294" spans="1:16" ht="15" thickBot="1" x14ac:dyDescent="0.35">
      <c r="A294" s="102">
        <v>41027</v>
      </c>
      <c r="B294" s="103">
        <v>14.44</v>
      </c>
      <c r="C294" s="103">
        <v>14.5</v>
      </c>
      <c r="D294" s="103">
        <v>13.62</v>
      </c>
      <c r="E294" s="103">
        <v>14.32</v>
      </c>
      <c r="F294" s="103">
        <v>14.32</v>
      </c>
      <c r="G294" s="104">
        <v>794000</v>
      </c>
      <c r="J294" s="102">
        <v>41027</v>
      </c>
      <c r="K294" s="105">
        <v>2424.79</v>
      </c>
      <c r="L294" s="105">
        <v>2445.48</v>
      </c>
      <c r="M294" s="105">
        <v>2364.39</v>
      </c>
      <c r="N294" s="105">
        <v>2366.39</v>
      </c>
      <c r="O294" s="105">
        <v>2366.39</v>
      </c>
      <c r="P294" s="103" t="s">
        <v>400</v>
      </c>
    </row>
    <row r="295" spans="1:16" ht="15" thickBot="1" x14ac:dyDescent="0.35">
      <c r="A295" s="102">
        <v>41020</v>
      </c>
      <c r="B295" s="103">
        <v>14.1</v>
      </c>
      <c r="C295" s="103">
        <v>14.67</v>
      </c>
      <c r="D295" s="103">
        <v>13.88</v>
      </c>
      <c r="E295" s="103">
        <v>14.46</v>
      </c>
      <c r="F295" s="103">
        <v>14.46</v>
      </c>
      <c r="G295" s="104">
        <v>559100</v>
      </c>
      <c r="J295" s="102">
        <v>41020</v>
      </c>
      <c r="K295" s="105">
        <v>2381.3200000000002</v>
      </c>
      <c r="L295" s="105">
        <v>2430.38</v>
      </c>
      <c r="M295" s="105">
        <v>2347.34</v>
      </c>
      <c r="N295" s="105">
        <v>2424.7800000000002</v>
      </c>
      <c r="O295" s="105">
        <v>2424.7800000000002</v>
      </c>
      <c r="P295" s="103" t="s">
        <v>400</v>
      </c>
    </row>
    <row r="296" spans="1:16" ht="15" thickBot="1" x14ac:dyDescent="0.35">
      <c r="A296" s="102">
        <v>41013</v>
      </c>
      <c r="B296" s="103">
        <v>14.24</v>
      </c>
      <c r="C296" s="103">
        <v>14.46</v>
      </c>
      <c r="D296" s="103">
        <v>13.9</v>
      </c>
      <c r="E296" s="103">
        <v>14.3</v>
      </c>
      <c r="F296" s="103">
        <v>14.3</v>
      </c>
      <c r="G296" s="104">
        <v>505900</v>
      </c>
      <c r="J296" s="102">
        <v>41013</v>
      </c>
      <c r="K296" s="105">
        <v>2366.86</v>
      </c>
      <c r="L296" s="105">
        <v>2405.69</v>
      </c>
      <c r="M296" s="105">
        <v>2358.41</v>
      </c>
      <c r="N296" s="105">
        <v>2381.3200000000002</v>
      </c>
      <c r="O296" s="105">
        <v>2381.3200000000002</v>
      </c>
      <c r="P296" s="103" t="s">
        <v>400</v>
      </c>
    </row>
    <row r="297" spans="1:16" ht="15" thickBot="1" x14ac:dyDescent="0.35">
      <c r="A297" s="102">
        <v>41006</v>
      </c>
      <c r="B297" s="103">
        <v>15.49</v>
      </c>
      <c r="C297" s="103">
        <v>15.55</v>
      </c>
      <c r="D297" s="103">
        <v>14.22</v>
      </c>
      <c r="E297" s="103">
        <v>14.24</v>
      </c>
      <c r="F297" s="103">
        <v>14.24</v>
      </c>
      <c r="G297" s="104">
        <v>623000</v>
      </c>
      <c r="J297" s="102">
        <v>41006</v>
      </c>
      <c r="K297" s="105">
        <v>2414.39</v>
      </c>
      <c r="L297" s="105">
        <v>2414.39</v>
      </c>
      <c r="M297" s="105">
        <v>2344.16</v>
      </c>
      <c r="N297" s="105">
        <v>2366.84</v>
      </c>
      <c r="O297" s="105">
        <v>2366.84</v>
      </c>
      <c r="P297" s="103" t="s">
        <v>400</v>
      </c>
    </row>
    <row r="298" spans="1:16" ht="15" thickBot="1" x14ac:dyDescent="0.35">
      <c r="A298" s="102">
        <v>40999</v>
      </c>
      <c r="B298" s="103">
        <v>15.95</v>
      </c>
      <c r="C298" s="103">
        <v>16.32</v>
      </c>
      <c r="D298" s="103">
        <v>15.63</v>
      </c>
      <c r="E298" s="103">
        <v>15.74</v>
      </c>
      <c r="F298" s="103">
        <v>15.74</v>
      </c>
      <c r="G298" s="104">
        <v>505400</v>
      </c>
      <c r="J298" s="102">
        <v>40999</v>
      </c>
      <c r="K298" s="105">
        <v>2430.6799999999998</v>
      </c>
      <c r="L298" s="105">
        <v>2454.63</v>
      </c>
      <c r="M298" s="105">
        <v>2404.6999999999998</v>
      </c>
      <c r="N298" s="105">
        <v>2414.4</v>
      </c>
      <c r="O298" s="105">
        <v>2414.4</v>
      </c>
      <c r="P298" s="103" t="s">
        <v>400</v>
      </c>
    </row>
    <row r="299" spans="1:16" ht="15" thickBot="1" x14ac:dyDescent="0.35">
      <c r="A299" s="102">
        <v>40992</v>
      </c>
      <c r="B299" s="103">
        <v>15.73</v>
      </c>
      <c r="C299" s="103">
        <v>16.34</v>
      </c>
      <c r="D299" s="103">
        <v>15.65</v>
      </c>
      <c r="E299" s="103">
        <v>16</v>
      </c>
      <c r="F299" s="103">
        <v>16</v>
      </c>
      <c r="G299" s="104">
        <v>1015600</v>
      </c>
      <c r="J299" s="102">
        <v>40992</v>
      </c>
      <c r="K299" s="105">
        <v>2410.17</v>
      </c>
      <c r="L299" s="105">
        <v>2448.16</v>
      </c>
      <c r="M299" s="105">
        <v>2402.06</v>
      </c>
      <c r="N299" s="105">
        <v>2430.67</v>
      </c>
      <c r="O299" s="105">
        <v>2430.67</v>
      </c>
      <c r="P299" s="103" t="s">
        <v>400</v>
      </c>
    </row>
    <row r="300" spans="1:16" ht="15" thickBot="1" x14ac:dyDescent="0.35">
      <c r="A300" s="102">
        <v>40985</v>
      </c>
      <c r="B300" s="103">
        <v>15.45</v>
      </c>
      <c r="C300" s="103">
        <v>15.73</v>
      </c>
      <c r="D300" s="103">
        <v>15.26</v>
      </c>
      <c r="E300" s="103">
        <v>15.58</v>
      </c>
      <c r="F300" s="103">
        <v>15.58</v>
      </c>
      <c r="G300" s="104">
        <v>652600</v>
      </c>
      <c r="J300" s="102">
        <v>40985</v>
      </c>
      <c r="K300" s="105">
        <v>2422.09</v>
      </c>
      <c r="L300" s="105">
        <v>2438.91</v>
      </c>
      <c r="M300" s="105">
        <v>2392.62</v>
      </c>
      <c r="N300" s="105">
        <v>2410.16</v>
      </c>
      <c r="O300" s="105">
        <v>2410.16</v>
      </c>
      <c r="P300" s="103" t="s">
        <v>400</v>
      </c>
    </row>
    <row r="301" spans="1:16" ht="15" thickBot="1" x14ac:dyDescent="0.35">
      <c r="A301" s="102">
        <v>40979</v>
      </c>
      <c r="B301" s="103">
        <v>16</v>
      </c>
      <c r="C301" s="103">
        <v>16.05</v>
      </c>
      <c r="D301" s="103">
        <v>15.47</v>
      </c>
      <c r="E301" s="103">
        <v>15.5</v>
      </c>
      <c r="F301" s="103">
        <v>15.5</v>
      </c>
      <c r="G301" s="104">
        <v>1283700</v>
      </c>
      <c r="J301" s="102">
        <v>40979</v>
      </c>
      <c r="K301" s="105">
        <v>2363.5700000000002</v>
      </c>
      <c r="L301" s="105">
        <v>2425.0300000000002</v>
      </c>
      <c r="M301" s="105">
        <v>2356.36</v>
      </c>
      <c r="N301" s="105">
        <v>2422.09</v>
      </c>
      <c r="O301" s="105">
        <v>2422.09</v>
      </c>
      <c r="P301" s="103" t="s">
        <v>400</v>
      </c>
    </row>
    <row r="302" spans="1:16" ht="15" thickBot="1" x14ac:dyDescent="0.35">
      <c r="A302" s="102">
        <v>40972</v>
      </c>
      <c r="B302" s="103">
        <v>14.85</v>
      </c>
      <c r="C302" s="103">
        <v>16.39</v>
      </c>
      <c r="D302" s="103">
        <v>14.22</v>
      </c>
      <c r="E302" s="103">
        <v>16</v>
      </c>
      <c r="F302" s="103">
        <v>16</v>
      </c>
      <c r="G302" s="104">
        <v>1465600</v>
      </c>
      <c r="J302" s="102">
        <v>40972</v>
      </c>
      <c r="K302" s="105">
        <v>2360.21</v>
      </c>
      <c r="L302" s="105">
        <v>2370.25</v>
      </c>
      <c r="M302" s="105">
        <v>2309.5100000000002</v>
      </c>
      <c r="N302" s="105">
        <v>2363.56</v>
      </c>
      <c r="O302" s="105">
        <v>2363.56</v>
      </c>
      <c r="P302" s="103" t="s">
        <v>400</v>
      </c>
    </row>
    <row r="303" spans="1:16" ht="15" thickBot="1" x14ac:dyDescent="0.35">
      <c r="A303" s="102">
        <v>40965</v>
      </c>
      <c r="B303" s="103">
        <v>15.54</v>
      </c>
      <c r="C303" s="103">
        <v>15.84</v>
      </c>
      <c r="D303" s="103">
        <v>14.87</v>
      </c>
      <c r="E303" s="103">
        <v>14.89</v>
      </c>
      <c r="F303" s="103">
        <v>14.89</v>
      </c>
      <c r="G303" s="104">
        <v>1588000</v>
      </c>
      <c r="J303" s="102">
        <v>40965</v>
      </c>
      <c r="K303" s="105">
        <v>2352.34</v>
      </c>
      <c r="L303" s="105">
        <v>2374.11</v>
      </c>
      <c r="M303" s="105">
        <v>2333.6999999999998</v>
      </c>
      <c r="N303" s="105">
        <v>2360.2800000000002</v>
      </c>
      <c r="O303" s="105">
        <v>2360.2800000000002</v>
      </c>
      <c r="P303" s="103" t="s">
        <v>400</v>
      </c>
    </row>
    <row r="304" spans="1:16" ht="15" thickBot="1" x14ac:dyDescent="0.35">
      <c r="A304" s="102">
        <v>40958</v>
      </c>
      <c r="B304" s="103">
        <v>16.7</v>
      </c>
      <c r="C304" s="103">
        <v>16.7</v>
      </c>
      <c r="D304" s="103">
        <v>15.85</v>
      </c>
      <c r="E304" s="103">
        <v>16</v>
      </c>
      <c r="F304" s="103">
        <v>16</v>
      </c>
      <c r="G304" s="104">
        <v>285900</v>
      </c>
      <c r="J304" s="102">
        <v>40958</v>
      </c>
      <c r="K304" s="105">
        <v>2343.67</v>
      </c>
      <c r="L304" s="105">
        <v>2357.48</v>
      </c>
      <c r="M304" s="105">
        <v>2328.41</v>
      </c>
      <c r="N304" s="105">
        <v>2352.34</v>
      </c>
      <c r="O304" s="105">
        <v>2352.34</v>
      </c>
      <c r="P304" s="103" t="s">
        <v>400</v>
      </c>
    </row>
    <row r="305" spans="1:16" ht="15" thickBot="1" x14ac:dyDescent="0.35">
      <c r="A305" s="102">
        <v>40951</v>
      </c>
      <c r="B305" s="103">
        <v>17.48</v>
      </c>
      <c r="C305" s="103">
        <v>17.600000000000001</v>
      </c>
      <c r="D305" s="103">
        <v>16.579999999999998</v>
      </c>
      <c r="E305" s="103">
        <v>16.66</v>
      </c>
      <c r="F305" s="103">
        <v>16.66</v>
      </c>
      <c r="G305" s="104">
        <v>469300</v>
      </c>
      <c r="J305" s="102">
        <v>40951</v>
      </c>
      <c r="K305" s="105">
        <v>2309.6</v>
      </c>
      <c r="L305" s="105">
        <v>2347.34</v>
      </c>
      <c r="M305" s="105">
        <v>2307.02</v>
      </c>
      <c r="N305" s="105">
        <v>2343.67</v>
      </c>
      <c r="O305" s="105">
        <v>2343.67</v>
      </c>
      <c r="P305" s="103" t="s">
        <v>400</v>
      </c>
    </row>
    <row r="306" spans="1:16" ht="15" thickBot="1" x14ac:dyDescent="0.35">
      <c r="A306" s="102">
        <v>40944</v>
      </c>
      <c r="B306" s="103">
        <v>18.23</v>
      </c>
      <c r="C306" s="103">
        <v>18.34</v>
      </c>
      <c r="D306" s="103">
        <v>17.309999999999999</v>
      </c>
      <c r="E306" s="103">
        <v>17.350000000000001</v>
      </c>
      <c r="F306" s="103">
        <v>17.350000000000001</v>
      </c>
      <c r="G306" s="104">
        <v>558200</v>
      </c>
      <c r="J306" s="102">
        <v>40944</v>
      </c>
      <c r="K306" s="105">
        <v>2312.48</v>
      </c>
      <c r="L306" s="105">
        <v>2329.54</v>
      </c>
      <c r="M306" s="105">
        <v>2297.34</v>
      </c>
      <c r="N306" s="105">
        <v>2309.6</v>
      </c>
      <c r="O306" s="105">
        <v>2309.6</v>
      </c>
      <c r="P306" s="103" t="s">
        <v>400</v>
      </c>
    </row>
    <row r="307" spans="1:16" ht="15" thickBot="1" x14ac:dyDescent="0.35">
      <c r="A307" s="102">
        <v>40937</v>
      </c>
      <c r="B307" s="103">
        <v>17.2</v>
      </c>
      <c r="C307" s="103">
        <v>18.32</v>
      </c>
      <c r="D307" s="103">
        <v>16.899999999999999</v>
      </c>
      <c r="E307" s="103">
        <v>18.27</v>
      </c>
      <c r="F307" s="103">
        <v>18.27</v>
      </c>
      <c r="G307" s="104">
        <v>673400</v>
      </c>
      <c r="J307" s="102">
        <v>40937</v>
      </c>
      <c r="K307" s="105">
        <v>2262.35</v>
      </c>
      <c r="L307" s="105">
        <v>2312.94</v>
      </c>
      <c r="M307" s="105">
        <v>2235.27</v>
      </c>
      <c r="N307" s="105">
        <v>2312.4899999999998</v>
      </c>
      <c r="O307" s="105">
        <v>2312.4899999999998</v>
      </c>
      <c r="P307" s="103" t="s">
        <v>400</v>
      </c>
    </row>
    <row r="308" spans="1:16" ht="15" thickBot="1" x14ac:dyDescent="0.35">
      <c r="A308" s="102">
        <v>40930</v>
      </c>
      <c r="B308" s="103">
        <v>17.13</v>
      </c>
      <c r="C308" s="103">
        <v>17.61</v>
      </c>
      <c r="D308" s="103">
        <v>16.7</v>
      </c>
      <c r="E308" s="103">
        <v>17.38</v>
      </c>
      <c r="F308" s="103">
        <v>17.38</v>
      </c>
      <c r="G308" s="104">
        <v>727200</v>
      </c>
      <c r="J308" s="102">
        <v>40930</v>
      </c>
      <c r="K308" s="105">
        <v>2260.37</v>
      </c>
      <c r="L308" s="105">
        <v>2291.58</v>
      </c>
      <c r="M308" s="105">
        <v>2244.39</v>
      </c>
      <c r="N308" s="105">
        <v>2262.35</v>
      </c>
      <c r="O308" s="105">
        <v>2262.35</v>
      </c>
      <c r="P308" s="103" t="s">
        <v>400</v>
      </c>
    </row>
    <row r="309" spans="1:16" ht="15" thickBot="1" x14ac:dyDescent="0.35">
      <c r="A309" s="102">
        <v>40923</v>
      </c>
      <c r="B309" s="103">
        <v>17.649999999999999</v>
      </c>
      <c r="C309" s="103">
        <v>17.78</v>
      </c>
      <c r="D309" s="103">
        <v>17.04</v>
      </c>
      <c r="E309" s="103">
        <v>17.14</v>
      </c>
      <c r="F309" s="103">
        <v>17.14</v>
      </c>
      <c r="G309" s="104">
        <v>359400</v>
      </c>
      <c r="J309" s="102">
        <v>40923</v>
      </c>
      <c r="K309" s="105">
        <v>2214.7199999999998</v>
      </c>
      <c r="L309" s="105">
        <v>2260.4499999999998</v>
      </c>
      <c r="M309" s="105">
        <v>2214.7199999999998</v>
      </c>
      <c r="N309" s="105">
        <v>2260.37</v>
      </c>
      <c r="O309" s="105">
        <v>2260.37</v>
      </c>
      <c r="P309" s="103" t="s">
        <v>400</v>
      </c>
    </row>
    <row r="310" spans="1:16" ht="15" thickBot="1" x14ac:dyDescent="0.35">
      <c r="A310" s="102">
        <v>40916</v>
      </c>
      <c r="B310" s="103">
        <v>17.07</v>
      </c>
      <c r="C310" s="103">
        <v>17.82</v>
      </c>
      <c r="D310" s="103">
        <v>16.920000000000002</v>
      </c>
      <c r="E310" s="103">
        <v>17.440000000000001</v>
      </c>
      <c r="F310" s="103">
        <v>17.440000000000001</v>
      </c>
      <c r="G310" s="104">
        <v>795600</v>
      </c>
      <c r="J310" s="102">
        <v>40916</v>
      </c>
      <c r="K310" s="105">
        <v>2194.9899999999998</v>
      </c>
      <c r="L310" s="105">
        <v>2227.7800000000002</v>
      </c>
      <c r="M310" s="105">
        <v>2189.52</v>
      </c>
      <c r="N310" s="105">
        <v>2214.73</v>
      </c>
      <c r="O310" s="105">
        <v>2214.73</v>
      </c>
      <c r="P310" s="103" t="s">
        <v>400</v>
      </c>
    </row>
    <row r="311" spans="1:16" x14ac:dyDescent="0.3">
      <c r="A311" s="102">
        <v>40909</v>
      </c>
      <c r="B311" s="103">
        <v>17.22</v>
      </c>
      <c r="C311" s="103">
        <v>17.27</v>
      </c>
      <c r="D311" s="103">
        <v>16.66</v>
      </c>
      <c r="E311" s="103">
        <v>17.02</v>
      </c>
      <c r="F311" s="103">
        <v>17.02</v>
      </c>
      <c r="G311" s="104">
        <v>823200</v>
      </c>
      <c r="J311" s="102">
        <v>40909</v>
      </c>
      <c r="K311" s="105">
        <v>2158.9299999999998</v>
      </c>
      <c r="L311" s="105">
        <v>2205.23</v>
      </c>
      <c r="M311" s="105">
        <v>2158.9299999999998</v>
      </c>
      <c r="N311" s="105">
        <v>2194.98</v>
      </c>
      <c r="O311" s="105">
        <v>2194.98</v>
      </c>
      <c r="P311" s="103" t="s">
        <v>400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Cover</vt:lpstr>
      <vt:lpstr>Financial Statements</vt:lpstr>
      <vt:lpstr>IS Modelling</vt:lpstr>
      <vt:lpstr>BS Modelling</vt:lpstr>
      <vt:lpstr>Valuation</vt:lpstr>
      <vt:lpstr>Ratios</vt:lpstr>
      <vt:lpstr>Comps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Kevin</cp:lastModifiedBy>
  <dcterms:created xsi:type="dcterms:W3CDTF">2017-10-23T21:12:26Z</dcterms:created>
  <dcterms:modified xsi:type="dcterms:W3CDTF">2017-11-13T19:36:39Z</dcterms:modified>
</cp:coreProperties>
</file>